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O ORDEN CARPETAS\DOCUMENTOS\Trabajo\Estadísticas\Documentos\2022\5 Mayo\"/>
    </mc:Choice>
  </mc:AlternateContent>
  <bookViews>
    <workbookView xWindow="-105" yWindow="-105" windowWidth="23250" windowHeight="12570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(G)'!$Q$44:$R$68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1" l="1"/>
  <c r="F57" i="1"/>
  <c r="H57" i="1"/>
  <c r="E57" i="1"/>
  <c r="G43" i="1"/>
  <c r="F12" i="1" l="1"/>
  <c r="F13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28" i="2"/>
  <c r="G31" i="2" l="1"/>
  <c r="D28" i="2"/>
  <c r="D33" i="2"/>
  <c r="D32" i="2"/>
  <c r="D31" i="2" l="1"/>
  <c r="H28" i="2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4" i="1"/>
  <c r="F15" i="1"/>
  <c r="D56" i="6" l="1"/>
  <c r="R25" i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12" i="1" s="1"/>
  <c r="G25" i="1"/>
  <c r="G29" i="1"/>
  <c r="F32" i="1"/>
  <c r="E30" i="2" s="1"/>
  <c r="G13" i="1" l="1"/>
  <c r="D17" i="1"/>
  <c r="G14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<sst xmlns="http://schemas.openxmlformats.org/spreadsheetml/2006/main" count="333" uniqueCount="132">
  <si>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</si>
  <si>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</si>
  <si>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</si>
  <si>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</si>
  <si>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</si>
  <si>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</si>
  <si>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</si>
  <si>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</si>
  <si>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</si>
  <si>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</si>
  <si>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</si>
  <si>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</si>
  <si>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</si>
  <si>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</si>
  <si>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</si>
  <si>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</si>
  <si>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</si>
  <si>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</si>
  <si>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</si>
  <si>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</si>
  <si>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</si>
  <si>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</si>
  <si>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</si>
  <si>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</si>
  <si>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</si>
  <si>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</si>
  <si>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</si>
  <si>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</si>
  <si>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</si>
  <si>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</si>
  <si>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</si>
  <si>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</si>
  <si>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</si>
  <si>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</si>
  <si>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</si>
  <si>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</si>
  <si>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</si>
  <si>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</si>
  <si>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</si>
  <si>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</si>
  <si>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</si>
  <si>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</si>
  <si>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</si>
  <si>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</si>
  <si>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</si>
  <si>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</si>
  <si>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</si>
  <si>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</si>
  <si>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</si>
  <si>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</si>
  <si>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</si>
  <si>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</si>
  <si>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</si>
  <si>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</si>
  <si>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</si>
  <si>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</si>
  <si>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</si>
  <si>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</si>
  <si>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</si>
  <si>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</si>
  <si>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</si>
  <si>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</si>
  <si>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</si>
  <si>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</si>
  <si>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</si>
  <si>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</si>
  <si>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</si>
  <si>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</si>
  <si>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</si>
  <si>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</si>
  <si>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</si>
  <si>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</si>
  <si>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</si>
  <si>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</si>
  <si>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</si>
  <si>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</si>
  <si>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</si>
  <si>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</si>
  <si>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</si>
  <si>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</si>
  <si>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</si>
  <si>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</si>
  <si>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</si>
  <si>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</si>
  <si>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</si>
  <si>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</si>
  <si>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</si>
  <si>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</si>
  <si>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</si>
  <si>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</si>
  <si>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</si>
  <si>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</si>
  <si>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</si>
  <si>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</si>
  <si>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</si>
  <si>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</si>
  <si>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</si>
  <si>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</si>
  <si>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</si>
  <si>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</si>
  <si>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</si>
  <si>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</si>
  <si>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</si>
  <si>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</si>
  <si>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</si>
  <si>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</si>
  <si>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</si>
  <si>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</si>
  <si>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</si>
  <si>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</si>
  <si>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</si>
  <si>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</si>
  <si>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</si>
  <si>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</si>
  <si>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</si>
  <si>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</si>
  <si>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</si>
  <si>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</si>
  <si>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2022 vs 2021</t>
  </si>
  <si>
    <t>Cuadro N° 4 : Producción de energía eléctrica nacional según destino y recurso 2022 vs 2021</t>
  </si>
  <si>
    <t>Cuadro N° 3 : Producción de energía eléctrica nacional según mercado 2022 vs 2021</t>
  </si>
  <si>
    <t>Cuadro N° 5: Producción de energía eléctrica nacional por tipo de recurso energético 2022 vs 2021</t>
  </si>
  <si>
    <t>Cuadro N° 6: Producción de energía eléctrica con Recurso Convencional y No Convencional 2022 vs 2021</t>
  </si>
  <si>
    <t>Cuadro N° 7: Producción de energía eléctrica según tipo de participación en el Mercado Eléctrico 2022 vs 2021</t>
  </si>
  <si>
    <t>3.1 Producción de energía eléctrica (GWh) nacional según zona 2022 vs 2021</t>
  </si>
  <si>
    <t>1. RESUMEN NACIONAL AL MES DE ABRIL 2022</t>
  </si>
  <si>
    <t>Abril</t>
  </si>
  <si>
    <t>Enero - Abril</t>
  </si>
  <si>
    <t>Grafico N° 11: Generación de energía eléctrica por Región, al mes de abril 2022</t>
  </si>
  <si>
    <t>Cuadro N° 8: Producción de energía eléctrica nacional por zona del país, al mes de abril</t>
  </si>
  <si>
    <t>3.2 Producción de energía eléctrica (GWh) por origen y zona al mes de abril 2022</t>
  </si>
  <si>
    <t>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</si>
</sst>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0.000%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01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on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ont="1" applyFill="1" applyBorder="1" applyAlignment="1">
      <alignment horizontal="center"/>
    </xf>
    <xf numFmtId="3" fontId="0" fillId="71" borderId="90" xfId="0" applyNumberFormat="1" applyFont="1" applyFill="1" applyBorder="1"/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0" fontId="0" fillId="71" borderId="93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5" xfId="0" applyFont="1" applyFill="1" applyBorder="1"/>
    <xf numFmtId="3" fontId="0" fillId="68" borderId="85" xfId="0" applyNumberFormat="1" applyFont="1" applyFill="1" applyBorder="1" applyAlignment="1">
      <alignment vertical="center"/>
    </xf>
    <xf numFmtId="3" fontId="0" fillId="68" borderId="81" xfId="0" applyNumberFormat="1" applyFon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3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NumberFormat="1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4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5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178" fontId="76" fillId="0" borderId="73" xfId="33743" applyNumberFormat="1" applyFont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Font="1" applyBorder="1" applyAlignment="1">
      <alignment horizontal="center"/>
    </xf>
    <xf numFmtId="4" fontId="0" fillId="68" borderId="63" xfId="0" applyNumberFormat="1" applyFont="1" applyFill="1" applyBorder="1" applyAlignment="1">
      <alignment vertical="center"/>
    </xf>
    <xf numFmtId="3" fontId="99" fillId="0" borderId="60" xfId="0" applyNumberFormat="1" applyFont="1" applyBorder="1"/>
    <xf numFmtId="3" fontId="0" fillId="68" borderId="60" xfId="0" applyNumberFormat="1" applyFill="1" applyBorder="1"/>
    <xf numFmtId="167" fontId="0" fillId="68" borderId="62" xfId="0" applyNumberFormat="1" applyFill="1" applyBorder="1" applyAlignment="1">
      <alignment horizontal="center" vertical="center"/>
    </xf>
    <xf numFmtId="0" fontId="3" fillId="69" borderId="118" xfId="0" applyFont="1" applyFill="1" applyBorder="1" applyAlignment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182" fontId="35" fillId="68" borderId="22" xfId="33743" applyNumberFormat="1" applyFont="1" applyFill="1" applyBorder="1" applyAlignment="1">
      <alignment horizontal="center" vertical="center"/>
    </xf>
    <xf numFmtId="167" fontId="0" fillId="68" borderId="84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3" fontId="99" fillId="0" borderId="85" xfId="0" applyNumberFormat="1" applyFont="1" applyBorder="1"/>
    <xf numFmtId="4" fontId="0" fillId="68" borderId="27" xfId="0" applyNumberFormat="1" applyFont="1" applyFill="1" applyBorder="1" applyAlignment="1">
      <alignment vertical="center"/>
    </xf>
    <xf numFmtId="167" fontId="0" fillId="68" borderId="83" xfId="0" applyNumberFormat="1" applyFont="1" applyFill="1" applyBorder="1" applyAlignment="1">
      <alignment vertical="center"/>
    </xf>
    <xf numFmtId="167" fontId="0" fillId="68" borderId="63" xfId="0" applyNumberFormat="1" applyFont="1" applyFill="1" applyBorder="1" applyAlignment="1">
      <alignment vertical="center"/>
    </xf>
    <xf numFmtId="178" fontId="96" fillId="68" borderId="32" xfId="33743" applyNumberFormat="1" applyFont="1" applyFill="1" applyBorder="1" applyAlignment="1">
      <alignment horizontal="center" vertical="center"/>
    </xf>
    <xf numFmtId="167" fontId="99" fillId="0" borderId="28" xfId="0" applyNumberFormat="1" applyFont="1" applyBorder="1"/>
    <xf numFmtId="167" fontId="99" fillId="0" borderId="60" xfId="0" applyNumberFormat="1" applyFont="1" applyBorder="1"/>
    <xf numFmtId="9" fontId="96" fillId="0" borderId="32" xfId="33743" applyNumberFormat="1" applyFont="1" applyBorder="1" applyAlignment="1">
      <alignment horizontal="center"/>
    </xf>
    <xf numFmtId="167" fontId="0" fillId="68" borderId="113" xfId="0" applyNumberFormat="1" applyFill="1" applyBorder="1"/>
    <xf numFmtId="167" fontId="0" fillId="68" borderId="114" xfId="0" applyNumberFormat="1" applyFill="1" applyBorder="1"/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 vertical="center"/>
    </xf>
    <xf numFmtId="0" fontId="3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4" fontId="0" fillId="68" borderId="0" xfId="0" applyNumberFormat="1" applyFont="1" applyFill="1" applyBorder="1" applyAlignment="1">
      <alignment vertical="center"/>
    </xf>
    <xf numFmtId="4" fontId="0" fillId="68" borderId="61" xfId="0" applyNumberFormat="1" applyFont="1" applyFill="1" applyBorder="1" applyAlignment="1">
      <alignment vertical="center"/>
    </xf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Abril 2022</a:t>
            </a:r>
          </a:p>
          <a:p>
            <a:pPr>
              <a:defRPr sz="800" b="1"/>
            </a:pPr>
            <a:r>
              <a:rPr lang="es-PE" sz="800" b="1"/>
              <a:t>Total : 4 739 GWh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50.121164818761351</c:v>
                </c:pt>
                <c:pt idx="1">
                  <c:v>93.08216323484254</c:v>
                </c:pt>
                <c:pt idx="2">
                  <c:v>3166.9333160403426</c:v>
                </c:pt>
                <c:pt idx="3">
                  <c:v>1182.122630642883</c:v>
                </c:pt>
                <c:pt idx="4">
                  <c:v>247.06188139250006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2618.1753373239535</c:v>
                </c:pt>
                <c:pt idx="2" formatCode="_ * #,##0.00_ ;_ * \-#,##0.00_ ;_ * &quot;-&quot;??_ ;_ @_ ">
                  <c:v>6.4619999999999999E-3</c:v>
                </c:pt>
                <c:pt idx="3">
                  <c:v>1109.0287828178698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78.666011067500023</c:v>
                </c:pt>
                <c:pt idx="1">
                  <c:v>420.05773502187787</c:v>
                </c:pt>
                <c:pt idx="2">
                  <c:v>64.080211997499987</c:v>
                </c:pt>
                <c:pt idx="3">
                  <c:v>29.460456481455481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34.552758000000004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3727.2105821418231</c:v>
                </c:pt>
                <c:pt idx="1">
                  <c:v>592.26441456833334</c:v>
                </c:pt>
                <c:pt idx="2">
                  <c:v>385.29340141917191</c:v>
                </c:pt>
                <c:pt idx="3">
                  <c:v>34.552758000000004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4902704"/>
        <c:axId val="464905448"/>
      </c:barChart>
      <c:catAx>
        <c:axId val="464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5448"/>
        <c:crosses val="autoZero"/>
        <c:auto val="1"/>
        <c:lblAlgn val="ctr"/>
        <c:lblOffset val="100"/>
        <c:noMultiLvlLbl val="0"/>
      </c:catAx>
      <c:valAx>
        <c:axId val="46490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JUNIN</c:v>
                </c:pt>
                <c:pt idx="3">
                  <c:v>HUANUCO</c:v>
                </c:pt>
                <c:pt idx="4">
                  <c:v>ANCASH</c:v>
                </c:pt>
                <c:pt idx="5">
                  <c:v>CUSCO</c:v>
                </c:pt>
                <c:pt idx="6">
                  <c:v>CALLAO</c:v>
                </c:pt>
                <c:pt idx="7">
                  <c:v>CAJAMARCA</c:v>
                </c:pt>
                <c:pt idx="8">
                  <c:v>PIURA</c:v>
                </c:pt>
                <c:pt idx="9">
                  <c:v>ICA</c:v>
                </c:pt>
                <c:pt idx="10">
                  <c:v>PUNO</c:v>
                </c:pt>
                <c:pt idx="11">
                  <c:v>LA LIBERTAD</c:v>
                </c:pt>
                <c:pt idx="12">
                  <c:v>AREQUIPA</c:v>
                </c:pt>
                <c:pt idx="13">
                  <c:v>PASCO</c:v>
                </c:pt>
                <c:pt idx="14">
                  <c:v>MOQUEGUA</c:v>
                </c:pt>
                <c:pt idx="15">
                  <c:v>LORETO</c:v>
                </c:pt>
                <c:pt idx="16">
                  <c:v>UCAYALI</c:v>
                </c:pt>
                <c:pt idx="17">
                  <c:v>TACNA</c:v>
                </c:pt>
                <c:pt idx="18">
                  <c:v>SAN MARTÍN</c:v>
                </c:pt>
                <c:pt idx="19">
                  <c:v>LAMBAYEQUE</c:v>
                </c:pt>
                <c:pt idx="20">
                  <c:v>APURIMAC</c:v>
                </c:pt>
                <c:pt idx="21">
                  <c:v>AMAZONAS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1609.017252596662</c:v>
                </c:pt>
                <c:pt idx="1">
                  <c:v>960.42480361999969</c:v>
                </c:pt>
                <c:pt idx="2">
                  <c:v>347.86019673266128</c:v>
                </c:pt>
                <c:pt idx="3">
                  <c:v>283.51989090416663</c:v>
                </c:pt>
                <c:pt idx="4">
                  <c:v>263.06746086000004</c:v>
                </c:pt>
                <c:pt idx="5">
                  <c:v>193.86661163166667</c:v>
                </c:pt>
                <c:pt idx="6">
                  <c:v>163.76426223999997</c:v>
                </c:pt>
                <c:pt idx="7">
                  <c:v>143.00038577083325</c:v>
                </c:pt>
                <c:pt idx="8">
                  <c:v>119.9780155500053</c:v>
                </c:pt>
                <c:pt idx="9">
                  <c:v>117.6720652541667</c:v>
                </c:pt>
                <c:pt idx="10">
                  <c:v>115.76372680666664</c:v>
                </c:pt>
                <c:pt idx="11">
                  <c:v>106.94925083333332</c:v>
                </c:pt>
                <c:pt idx="12">
                  <c:v>93.796345819999942</c:v>
                </c:pt>
                <c:pt idx="13">
                  <c:v>86.305508342499976</c:v>
                </c:pt>
                <c:pt idx="14">
                  <c:v>53.931744912499987</c:v>
                </c:pt>
                <c:pt idx="15">
                  <c:v>34.552758000000004</c:v>
                </c:pt>
                <c:pt idx="16">
                  <c:v>13.25120684583333</c:v>
                </c:pt>
                <c:pt idx="17">
                  <c:v>11.595485715000001</c:v>
                </c:pt>
                <c:pt idx="18">
                  <c:v>5.5</c:v>
                </c:pt>
                <c:pt idx="19">
                  <c:v>5.2488142650000018</c:v>
                </c:pt>
                <c:pt idx="20">
                  <c:v>4.5991229999999996</c:v>
                </c:pt>
                <c:pt idx="21">
                  <c:v>3.5163870000000004</c:v>
                </c:pt>
                <c:pt idx="22">
                  <c:v>1.1005480000000003</c:v>
                </c:pt>
                <c:pt idx="23">
                  <c:v>0.86135733333333342</c:v>
                </c:pt>
                <c:pt idx="24">
                  <c:v>0.17795409500000001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18041840"/>
        <c:axId val="417816528"/>
      </c:barChart>
      <c:catAx>
        <c:axId val="41804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7816528"/>
        <c:crosses val="autoZero"/>
        <c:auto val="1"/>
        <c:lblAlgn val="ctr"/>
        <c:lblOffset val="100"/>
        <c:noMultiLvlLbl val="0"/>
      </c:catAx>
      <c:valAx>
        <c:axId val="417816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80418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3267.0068760000004</c:v>
                </c:pt>
                <c:pt idx="1">
                  <c:v>1123.7780039801391</c:v>
                </c:pt>
                <c:pt idx="2">
                  <c:v>164.14858500000003</c:v>
                </c:pt>
                <c:pt idx="3">
                  <c:v>62.415829000000002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3217.0544808591039</c:v>
                </c:pt>
                <c:pt idx="1">
                  <c:v>1275.2047938777255</c:v>
                </c:pt>
                <c:pt idx="2">
                  <c:v>182.98166939500007</c:v>
                </c:pt>
                <c:pt idx="3">
                  <c:v>64.080211997499987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26392"/>
        <c:axId val="460122864"/>
      </c:barChart>
      <c:catAx>
        <c:axId val="460126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864"/>
        <c:crosses val="autoZero"/>
        <c:auto val="1"/>
        <c:lblAlgn val="ctr"/>
        <c:lblOffset val="100"/>
        <c:noMultiLvlLbl val="0"/>
      </c:catAx>
      <c:valAx>
        <c:axId val="460122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146.82318298013922</c:v>
                </c:pt>
                <c:pt idx="1">
                  <c:v>145.51597168899062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4470.5261110000038</c:v>
                </c:pt>
                <c:pt idx="1">
                  <c:v>4593.805184440339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0120904"/>
        <c:axId val="460124824"/>
        <c:axId val="461663336"/>
      </c:bar3DChart>
      <c:catAx>
        <c:axId val="4601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  <c:auto val="1"/>
        <c:lblAlgn val="ctr"/>
        <c:lblOffset val="100"/>
        <c:noMultiLvlLbl val="0"/>
      </c:catAx>
      <c:valAx>
        <c:axId val="46012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0904"/>
        <c:crosses val="autoZero"/>
        <c:crossBetween val="between"/>
      </c:valAx>
      <c:serAx>
        <c:axId val="461663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3025.3490167600007</c:v>
                </c:pt>
                <c:pt idx="1">
                  <c:v>2988.5863695741041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1096.721307980139</c:v>
                </c:pt>
                <c:pt idx="1">
                  <c:v>1248.0563210798578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241.65785923999962</c:v>
                </c:pt>
                <c:pt idx="1">
                  <c:v>228.46811128500002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253.62111000000002</c:v>
                </c:pt>
                <c:pt idx="1">
                  <c:v>274.21035419036798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0122080"/>
        <c:axId val="460122472"/>
        <c:axId val="0"/>
      </c:bar3DChart>
      <c:catAx>
        <c:axId val="460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472"/>
        <c:crosses val="autoZero"/>
        <c:auto val="1"/>
        <c:lblAlgn val="ctr"/>
        <c:lblOffset val="100"/>
        <c:noMultiLvlLbl val="0"/>
      </c:catAx>
      <c:valAx>
        <c:axId val="4601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08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3217.0544808591039</c:v>
                </c:pt>
                <c:pt idx="1">
                  <c:v>1166.8123863981189</c:v>
                </c:pt>
                <c:pt idx="2">
                  <c:v>81.090797200517045</c:v>
                </c:pt>
                <c:pt idx="3">
                  <c:v>27.148472797867925</c:v>
                </c:pt>
                <c:pt idx="4">
                  <c:v>182.98166939500007</c:v>
                </c:pt>
                <c:pt idx="5">
                  <c:v>64.080211997499987</c:v>
                </c:pt>
                <c:pt idx="6" formatCode="#,##0.0">
                  <c:v>0.15313748122223836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669072"/>
        <c:axId val="119665152"/>
      </c:barChart>
      <c:catAx>
        <c:axId val="1196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152"/>
        <c:crosses val="autoZero"/>
        <c:auto val="1"/>
        <c:lblAlgn val="ctr"/>
        <c:lblOffset val="100"/>
        <c:noMultiLvlLbl val="0"/>
      </c:catAx>
      <c:valAx>
        <c:axId val="1196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4363.7281839801435</c:v>
                </c:pt>
                <c:pt idx="1">
                  <c:v>4465.1108019389621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03455004619E-2"/>
                  <c:y val="7.0606119226511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253.62111000000002</c:v>
                </c:pt>
                <c:pt idx="1">
                  <c:v>274.21035419036798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19662016"/>
        <c:axId val="119667896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169771312368755E-2"/>
                  <c:y val="-4.7478379882792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030296600483626E-2"/>
                  <c:y val="-4.5727548305236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5.4927858789166728E-2</c:v>
                </c:pt>
                <c:pt idx="1">
                  <c:v>5.7858571967787771E-2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5544"/>
        <c:axId val="119669464"/>
      </c:lineChart>
      <c:catAx>
        <c:axId val="1196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7896"/>
        <c:crosses val="autoZero"/>
        <c:auto val="1"/>
        <c:lblAlgn val="ctr"/>
        <c:lblOffset val="100"/>
        <c:noMultiLvlLbl val="1"/>
      </c:catAx>
      <c:valAx>
        <c:axId val="119667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2016"/>
        <c:crosses val="autoZero"/>
        <c:crossBetween val="between"/>
        <c:majorUnit val="1000"/>
      </c:valAx>
      <c:valAx>
        <c:axId val="11966946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544"/>
        <c:crosses val="max"/>
        <c:crossBetween val="between"/>
      </c:valAx>
      <c:catAx>
        <c:axId val="119665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69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0.14467361856936206"/>
                  <c:y val="-0.120828244954725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3267.0068760000004</c:v>
                </c:pt>
                <c:pt idx="1">
                  <c:v>1023.0942259999999</c:v>
                </c:pt>
                <c:pt idx="2">
                  <c:v>73.414537980142995</c:v>
                </c:pt>
                <c:pt idx="3" formatCode="#,##0.00">
                  <c:v>0.21254400000000001</c:v>
                </c:pt>
                <c:pt idx="4">
                  <c:v>27.056695999999988</c:v>
                </c:pt>
                <c:pt idx="5">
                  <c:v>164.14858500000003</c:v>
                </c:pt>
                <c:pt idx="6">
                  <c:v>62.415829000000002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0.10617613973811689"/>
                  <c:y val="-0.13523810392525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9.4089860584307822E-2"/>
                  <c:y val="0.2896139664456754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3217.0544808591039</c:v>
                </c:pt>
                <c:pt idx="1">
                  <c:v>1166.8123863981189</c:v>
                </c:pt>
                <c:pt idx="2">
                  <c:v>81.090797200517045</c:v>
                </c:pt>
                <c:pt idx="3" formatCode="#,##0.00">
                  <c:v>0.15313748122223836</c:v>
                </c:pt>
                <c:pt idx="4">
                  <c:v>27.148472797867925</c:v>
                </c:pt>
                <c:pt idx="5">
                  <c:v>182.98166939500007</c:v>
                </c:pt>
                <c:pt idx="6">
                  <c:v>64.080211997499987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104.31565832750005</c:v>
                </c:pt>
                <c:pt idx="1">
                  <c:v>178.82140851327296</c:v>
                </c:pt>
                <c:pt idx="2">
                  <c:v>0</c:v>
                </c:pt>
                <c:pt idx="3">
                  <c:v>102.15633457839891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abril 2022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2022 vs 2021</a:t>
          </a:r>
          <a:endParaRPr lang="es-PE" sz="900" b="1"/>
        </a:p>
      </xdr:txBody>
    </xdr:sp>
    <xdr:clientData/>
  </xdr:twoCellAnchor>
  <xdr:twoCellAnchor>
    <xdr:from>
      <xdr:col>2</xdr:col>
      <xdr:colOff>214594</xdr:colOff>
      <xdr:row>5</xdr:row>
      <xdr:rowOff>115514</xdr:rowOff>
    </xdr:from>
    <xdr:to>
      <xdr:col>10</xdr:col>
      <xdr:colOff>200026</xdr:colOff>
      <xdr:row>19</xdr:row>
      <xdr:rowOff>91151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938494" y="972764"/>
          <a:ext cx="6691032" cy="2328312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44314" y="3258488"/>
          <a:ext cx="4025694" cy="5407325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tabSelected="1" view="pageBreakPreview" zoomScaleNormal="120" zoomScaleSheetLayoutView="100" workbookViewId="0">
      <selection activeCell="C1" sqref="C1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7.28515625" style="9" customWidth="1"/>
    <col min="8" max="9" width="11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27"/>
      <c r="D8" s="127"/>
      <c r="E8" s="127"/>
      <c r="F8" s="127"/>
      <c r="G8" s="127"/>
      <c r="H8" s="9"/>
      <c r="I8" s="9"/>
      <c r="J8" s="9"/>
      <c r="K8" s="9"/>
    </row>
    <row r="9" spans="2:19" s="1" customFormat="1" ht="25.5">
      <c r="B9" s="8"/>
      <c r="C9" s="177" t="s">
        <v>62</v>
      </c>
      <c r="D9" s="178" t="s">
        <v>69</v>
      </c>
      <c r="E9" s="179" t="s">
        <v>70</v>
      </c>
      <c r="F9" s="180" t="s">
        <v>71</v>
      </c>
      <c r="G9" s="181" t="s">
        <v>72</v>
      </c>
      <c r="H9" s="9"/>
      <c r="I9" s="9"/>
      <c r="J9" s="9"/>
      <c r="K9" s="9"/>
    </row>
    <row r="10" spans="2:19" s="1" customFormat="1" ht="13.5" thickBot="1">
      <c r="B10" s="8"/>
      <c r="C10" s="182" t="s">
        <v>63</v>
      </c>
      <c r="D10" s="183"/>
      <c r="E10" s="184"/>
      <c r="F10" s="185"/>
      <c r="G10" s="186"/>
      <c r="H10" s="9"/>
      <c r="I10" s="9"/>
      <c r="J10" s="9"/>
      <c r="K10" s="9"/>
    </row>
    <row r="11" spans="2:19" s="1" customFormat="1" ht="13.5" thickTop="1">
      <c r="B11" s="8"/>
      <c r="C11" s="128"/>
      <c r="D11" s="129"/>
      <c r="E11" s="130"/>
      <c r="F11" s="131"/>
      <c r="G11" s="132"/>
      <c r="H11" s="9"/>
      <c r="I11" s="9"/>
      <c r="J11" s="9"/>
      <c r="K11" s="9"/>
      <c r="Q11" s="373" t="s">
        <v>64</v>
      </c>
      <c r="R11" s="142" t="s">
        <v>41</v>
      </c>
      <c r="S11" s="143">
        <f>E12</f>
        <v>50.121164818761351</v>
      </c>
    </row>
    <row r="12" spans="2:19" s="1" customFormat="1">
      <c r="B12" s="8"/>
      <c r="C12" s="133" t="s">
        <v>66</v>
      </c>
      <c r="D12" s="134">
        <v>3166.9333160403426</v>
      </c>
      <c r="E12" s="135">
        <v>50.121164818761351</v>
      </c>
      <c r="F12" s="136">
        <f>SUM(D12:E12)</f>
        <v>3217.0544808591039</v>
      </c>
      <c r="G12" s="327">
        <f>(F12/F$16)</f>
        <v>0.67880069209880656</v>
      </c>
      <c r="H12" s="9"/>
      <c r="I12" s="9"/>
      <c r="J12" s="9"/>
      <c r="K12" s="9"/>
      <c r="Q12" s="373"/>
      <c r="R12" s="142" t="s">
        <v>73</v>
      </c>
      <c r="S12" s="143">
        <f>E13</f>
        <v>93.08216323484254</v>
      </c>
    </row>
    <row r="13" spans="2:19" s="1" customFormat="1">
      <c r="B13" s="8"/>
      <c r="C13" s="133" t="s">
        <v>65</v>
      </c>
      <c r="D13" s="134">
        <v>1182.122630642883</v>
      </c>
      <c r="E13" s="135">
        <v>93.08216323484254</v>
      </c>
      <c r="F13" s="136">
        <f>SUM(D13:E13)</f>
        <v>1275.2047938777255</v>
      </c>
      <c r="G13" s="327">
        <f>(F13/F$16)+0.001</f>
        <v>0.27006908223100956</v>
      </c>
      <c r="H13" s="9"/>
      <c r="I13" s="9"/>
      <c r="J13" s="9"/>
      <c r="K13" s="9"/>
      <c r="Q13" s="373" t="s">
        <v>88</v>
      </c>
      <c r="R13" s="142" t="s">
        <v>41</v>
      </c>
      <c r="S13" s="143">
        <f>D12</f>
        <v>3166.9333160403426</v>
      </c>
    </row>
    <row r="14" spans="2:19" s="1" customFormat="1">
      <c r="B14" s="8"/>
      <c r="C14" s="133" t="s">
        <v>67</v>
      </c>
      <c r="D14" s="134">
        <v>182.98166939500007</v>
      </c>
      <c r="E14" s="137"/>
      <c r="F14" s="136">
        <f>SUM(D14:E14)</f>
        <v>182.98166939500007</v>
      </c>
      <c r="G14" s="327">
        <f>(F14/F$16)</f>
        <v>3.8609257184090862E-2</v>
      </c>
      <c r="H14" s="9"/>
      <c r="I14" s="9"/>
      <c r="J14" s="9"/>
      <c r="K14" s="9"/>
      <c r="Q14" s="373"/>
      <c r="R14" s="142" t="s">
        <v>73</v>
      </c>
      <c r="S14" s="143">
        <f>D13</f>
        <v>1182.122630642883</v>
      </c>
    </row>
    <row r="15" spans="2:19" s="1" customFormat="1" ht="13.5" thickBot="1">
      <c r="B15" s="8"/>
      <c r="C15" s="138" t="s">
        <v>5</v>
      </c>
      <c r="D15" s="139">
        <v>64.080211997499987</v>
      </c>
      <c r="E15" s="140"/>
      <c r="F15" s="141">
        <f>SUM(D15:E15)</f>
        <v>64.080211997499987</v>
      </c>
      <c r="G15" s="328">
        <f>(F15/F$16)</f>
        <v>1.3520968486093316E-2</v>
      </c>
      <c r="H15" s="9"/>
      <c r="I15" s="9"/>
      <c r="J15" s="9"/>
      <c r="K15" s="9"/>
      <c r="Q15" s="373"/>
      <c r="R15" s="142" t="s">
        <v>87</v>
      </c>
      <c r="S15" s="143">
        <f>SUM(D14:D15)</f>
        <v>247.06188139250006</v>
      </c>
    </row>
    <row r="16" spans="2:19" s="1" customFormat="1" ht="13.5" thickTop="1">
      <c r="B16" s="8"/>
      <c r="C16" s="241" t="s">
        <v>71</v>
      </c>
      <c r="D16" s="242">
        <f>SUM(D12:D15)</f>
        <v>4596.1178280757249</v>
      </c>
      <c r="E16" s="243">
        <f>SUM(E12:E15)</f>
        <v>143.20332805360388</v>
      </c>
      <c r="F16" s="244">
        <f>SUM(F12:F15)</f>
        <v>4739.3211561293283</v>
      </c>
      <c r="G16" s="245"/>
      <c r="H16" s="9"/>
      <c r="I16" s="9"/>
      <c r="J16" s="9"/>
      <c r="K16" s="9"/>
    </row>
    <row r="17" spans="2:19" s="1" customFormat="1">
      <c r="B17" s="8"/>
      <c r="C17" s="246" t="s">
        <v>109</v>
      </c>
      <c r="D17" s="309">
        <f>D16/F16</f>
        <v>0.96978400000000009</v>
      </c>
      <c r="E17" s="310">
        <f>E16/F16</f>
        <v>3.0216000000000021E-2</v>
      </c>
      <c r="F17" s="247"/>
      <c r="G17" s="248"/>
      <c r="H17" s="9"/>
      <c r="I17" s="9"/>
      <c r="J17" s="9"/>
      <c r="K17" s="9"/>
    </row>
    <row r="18" spans="2:19" s="1" customFormat="1">
      <c r="B18" s="8"/>
      <c r="C18" s="128"/>
      <c r="D18" s="128"/>
      <c r="E18" s="128"/>
      <c r="F18" s="128"/>
      <c r="G18" s="128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118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28"/>
      <c r="D22" s="128"/>
      <c r="E22" s="128"/>
      <c r="F22" s="128"/>
      <c r="G22" s="128"/>
      <c r="H22" s="127"/>
      <c r="I22" s="127"/>
      <c r="J22" s="127"/>
      <c r="K22" s="9"/>
    </row>
    <row r="23" spans="2:19" s="1" customFormat="1" ht="12.75" customHeight="1">
      <c r="B23" s="8"/>
      <c r="C23" s="380" t="s">
        <v>112</v>
      </c>
      <c r="D23" s="381"/>
      <c r="E23" s="374" t="s">
        <v>126</v>
      </c>
      <c r="F23" s="375"/>
      <c r="G23" s="147" t="s">
        <v>74</v>
      </c>
      <c r="H23" s="378" t="s">
        <v>127</v>
      </c>
      <c r="I23" s="379"/>
      <c r="J23" s="147" t="s">
        <v>74</v>
      </c>
      <c r="K23" s="9"/>
      <c r="Q23" s="142"/>
      <c r="R23" s="142">
        <v>2021</v>
      </c>
      <c r="S23" s="142">
        <v>2022</v>
      </c>
    </row>
    <row r="24" spans="2:19" s="1" customFormat="1" ht="12.75" customHeight="1">
      <c r="B24" s="8"/>
      <c r="C24" s="148"/>
      <c r="D24" s="149"/>
      <c r="E24" s="150">
        <v>2021</v>
      </c>
      <c r="F24" s="151">
        <v>2022</v>
      </c>
      <c r="G24" s="152"/>
      <c r="H24" s="231">
        <v>2021</v>
      </c>
      <c r="I24" s="151">
        <v>2022</v>
      </c>
      <c r="J24" s="152"/>
      <c r="K24" s="9"/>
      <c r="Q24" s="142" t="s">
        <v>76</v>
      </c>
      <c r="R24" s="143">
        <f>E29</f>
        <v>146.82318298013922</v>
      </c>
      <c r="S24" s="143">
        <f>F29</f>
        <v>145.51597168899062</v>
      </c>
    </row>
    <row r="25" spans="2:19" s="1" customFormat="1">
      <c r="B25" s="8"/>
      <c r="C25" s="369" t="s">
        <v>0</v>
      </c>
      <c r="D25" s="370"/>
      <c r="E25" s="187">
        <f>SUM(E26:E28)</f>
        <v>4470.5261110000038</v>
      </c>
      <c r="F25" s="188">
        <f>SUM(F26:F28)</f>
        <v>4593.805184440339</v>
      </c>
      <c r="G25" s="189">
        <f>((F25/E25)-1)</f>
        <v>2.7575965418700887E-2</v>
      </c>
      <c r="H25" s="232">
        <f>SUM(H26:H28)</f>
        <v>18241.773746000003</v>
      </c>
      <c r="I25" s="188">
        <f>SUM(I26:I28)</f>
        <v>18813.065316440334</v>
      </c>
      <c r="J25" s="189">
        <f>((I25/H25)-1)</f>
        <v>3.1317764291731942E-2</v>
      </c>
      <c r="K25" s="9"/>
      <c r="Q25" s="142" t="s">
        <v>0</v>
      </c>
      <c r="R25" s="143">
        <f>E25</f>
        <v>4470.5261110000038</v>
      </c>
      <c r="S25" s="143">
        <f>F25</f>
        <v>4593.805184440339</v>
      </c>
    </row>
    <row r="26" spans="2:19" s="1" customFormat="1">
      <c r="B26" s="8"/>
      <c r="C26" s="261" t="s">
        <v>62</v>
      </c>
      <c r="D26" s="270" t="s">
        <v>102</v>
      </c>
      <c r="E26" s="154">
        <v>4329.828843000003</v>
      </c>
      <c r="F26" s="155">
        <v>4430.6575862649997</v>
      </c>
      <c r="G26" s="273">
        <f t="shared" ref="G26:G32" si="0">((F26/E26)-1)</f>
        <v>2.3287004387715138E-2</v>
      </c>
      <c r="H26" s="233">
        <v>17683.767875000001</v>
      </c>
      <c r="I26" s="155">
        <v>18154.799537264997</v>
      </c>
      <c r="J26" s="156">
        <f t="shared" ref="J26:J32" si="1">((I26/H26)-1)</f>
        <v>2.6636385729248646E-2</v>
      </c>
      <c r="K26" s="9"/>
    </row>
    <row r="27" spans="2:19" s="1" customFormat="1">
      <c r="B27" s="8"/>
      <c r="C27" s="262" t="s">
        <v>106</v>
      </c>
      <c r="D27" s="271" t="s">
        <v>77</v>
      </c>
      <c r="E27" s="264">
        <v>107.363175</v>
      </c>
      <c r="F27" s="265">
        <v>122.22866520713004</v>
      </c>
      <c r="G27" s="274">
        <f t="shared" si="0"/>
        <v>0.13845986025590284</v>
      </c>
      <c r="H27" s="266">
        <v>377.84967199999994</v>
      </c>
      <c r="I27" s="265">
        <v>472.02667620713009</v>
      </c>
      <c r="J27" s="274">
        <f t="shared" si="1"/>
        <v>0.24924463665309249</v>
      </c>
      <c r="K27" s="9"/>
    </row>
    <row r="28" spans="2:19" s="1" customFormat="1">
      <c r="B28" s="8"/>
      <c r="C28" s="263" t="s">
        <v>64</v>
      </c>
      <c r="D28" s="272" t="s">
        <v>77</v>
      </c>
      <c r="E28" s="154">
        <v>33.334092999999996</v>
      </c>
      <c r="F28" s="155">
        <v>40.918932968209234</v>
      </c>
      <c r="G28" s="273">
        <f t="shared" si="0"/>
        <v>0.22754001340937147</v>
      </c>
      <c r="H28" s="233">
        <v>180.15619899999999</v>
      </c>
      <c r="I28" s="155">
        <v>186.23910296820921</v>
      </c>
      <c r="J28" s="273">
        <f t="shared" si="1"/>
        <v>3.3764610943025186E-2</v>
      </c>
      <c r="K28" s="9"/>
    </row>
    <row r="29" spans="2:19" s="1" customFormat="1">
      <c r="B29" s="8"/>
      <c r="C29" s="369" t="s">
        <v>76</v>
      </c>
      <c r="D29" s="370"/>
      <c r="E29" s="187">
        <f>SUM(E30:E31)</f>
        <v>146.82318298013922</v>
      </c>
      <c r="F29" s="188">
        <f>SUM(F30:F31)</f>
        <v>145.51597168899062</v>
      </c>
      <c r="G29" s="189">
        <f t="shared" si="0"/>
        <v>-8.9033030384951806E-3</v>
      </c>
      <c r="H29" s="232">
        <f>SUM(H30:H31)</f>
        <v>635.30931892055696</v>
      </c>
      <c r="I29" s="188">
        <f>SUM(I30:I31)</f>
        <v>633.54251962940839</v>
      </c>
      <c r="J29" s="189">
        <f t="shared" si="1"/>
        <v>-2.781006414561249E-3</v>
      </c>
      <c r="K29" s="9"/>
      <c r="Q29" s="142"/>
      <c r="R29" s="142"/>
      <c r="S29" s="142"/>
    </row>
    <row r="30" spans="2:19" s="1" customFormat="1">
      <c r="B30" s="8"/>
      <c r="C30" s="267" t="s">
        <v>68</v>
      </c>
      <c r="D30" s="149"/>
      <c r="E30" s="154">
        <v>39.088239000000002</v>
      </c>
      <c r="F30" s="155">
        <v>43.231576603595968</v>
      </c>
      <c r="G30" s="273">
        <f t="shared" si="0"/>
        <v>0.10599959756682731</v>
      </c>
      <c r="H30" s="233">
        <v>154.431332</v>
      </c>
      <c r="I30" s="155">
        <v>166.80346060359597</v>
      </c>
      <c r="J30" s="273">
        <f t="shared" si="1"/>
        <v>8.0114109250809085E-2</v>
      </c>
      <c r="K30" s="9"/>
    </row>
    <row r="31" spans="2:19" s="1" customFormat="1" ht="13.5" thickBot="1">
      <c r="B31" s="8"/>
      <c r="C31" s="268" t="s">
        <v>64</v>
      </c>
      <c r="D31" s="269"/>
      <c r="E31" s="158">
        <v>107.73494398013922</v>
      </c>
      <c r="F31" s="159">
        <v>102.28439508539465</v>
      </c>
      <c r="G31" s="293">
        <f t="shared" si="0"/>
        <v>-5.0592209856714421E-2</v>
      </c>
      <c r="H31" s="234">
        <v>480.87798692055696</v>
      </c>
      <c r="I31" s="159">
        <v>466.73905902581242</v>
      </c>
      <c r="J31" s="293">
        <f t="shared" si="1"/>
        <v>-2.9402318840351382E-2</v>
      </c>
      <c r="K31" s="9"/>
    </row>
    <row r="32" spans="2:19" s="1" customFormat="1" ht="14.25" thickTop="1" thickBot="1">
      <c r="B32" s="8"/>
      <c r="C32" s="364" t="s">
        <v>108</v>
      </c>
      <c r="D32" s="365"/>
      <c r="E32" s="190">
        <f>SUM(E25,E29)</f>
        <v>4617.3492939801426</v>
      </c>
      <c r="F32" s="191">
        <f>SUM(F25,F29)</f>
        <v>4739.3211561293292</v>
      </c>
      <c r="G32" s="192">
        <f t="shared" si="0"/>
        <v>2.6415992029930946E-2</v>
      </c>
      <c r="H32" s="235">
        <f>SUM(H25,H29)</f>
        <v>18877.08306492056</v>
      </c>
      <c r="I32" s="191">
        <f>SUM(I25,I29)</f>
        <v>19446.607836069743</v>
      </c>
      <c r="J32" s="192">
        <f t="shared" si="1"/>
        <v>3.0170168197624525E-2</v>
      </c>
      <c r="K32" s="9"/>
    </row>
    <row r="33" spans="2:19" s="1" customFormat="1">
      <c r="B33" s="8"/>
      <c r="C33" s="304" t="s">
        <v>103</v>
      </c>
      <c r="D33" s="161"/>
      <c r="E33" s="161"/>
      <c r="F33" s="162"/>
      <c r="G33" s="127"/>
      <c r="H33" s="161"/>
      <c r="I33" s="161"/>
      <c r="J33" s="127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120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5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5"/>
      <c r="D38" s="146"/>
      <c r="E38" s="374" t="s">
        <v>126</v>
      </c>
      <c r="F38" s="375"/>
      <c r="G38" s="376" t="s">
        <v>74</v>
      </c>
      <c r="H38" s="378" t="s">
        <v>127</v>
      </c>
      <c r="I38" s="379"/>
      <c r="J38" s="376" t="s">
        <v>74</v>
      </c>
      <c r="K38" s="9"/>
      <c r="Q38" s="142"/>
      <c r="R38" s="142">
        <v>2021</v>
      </c>
      <c r="S38" s="142">
        <v>2022</v>
      </c>
    </row>
    <row r="39" spans="2:19" s="1" customFormat="1" ht="12.75" customHeight="1">
      <c r="B39" s="8"/>
      <c r="C39" s="148" t="s">
        <v>75</v>
      </c>
      <c r="D39" s="149"/>
      <c r="E39" s="150">
        <v>2021</v>
      </c>
      <c r="F39" s="151">
        <v>2022</v>
      </c>
      <c r="G39" s="377"/>
      <c r="H39" s="231">
        <v>2021</v>
      </c>
      <c r="I39" s="151">
        <v>2022</v>
      </c>
      <c r="J39" s="377"/>
      <c r="K39" s="9"/>
      <c r="Q39" s="142" t="s">
        <v>66</v>
      </c>
      <c r="R39" s="143">
        <f>SUM(E41,E46)</f>
        <v>3267.0068760000004</v>
      </c>
      <c r="S39" s="143">
        <f>SUM(F41,F46)</f>
        <v>3217.0544808591039</v>
      </c>
    </row>
    <row r="40" spans="2:19" s="1" customFormat="1">
      <c r="B40" s="8"/>
      <c r="C40" s="369" t="s">
        <v>68</v>
      </c>
      <c r="D40" s="370"/>
      <c r="E40" s="187">
        <f>SUM(E41:E44)</f>
        <v>4476.2802569999994</v>
      </c>
      <c r="F40" s="188">
        <f>SUM(F41:F44)</f>
        <v>4596.1178280757249</v>
      </c>
      <c r="G40" s="189">
        <f>((F40/E40)-1)</f>
        <v>2.6771686354607471E-2</v>
      </c>
      <c r="H40" s="232">
        <f>SUM(H41:H44)</f>
        <v>18216.048878999994</v>
      </c>
      <c r="I40" s="188">
        <f>SUM(I41:I44)</f>
        <v>18793.629674075728</v>
      </c>
      <c r="J40" s="189">
        <f>((I40/H40)-1)</f>
        <v>3.1707248861282178E-2</v>
      </c>
      <c r="K40" s="9"/>
      <c r="Q40" s="142" t="s">
        <v>65</v>
      </c>
      <c r="R40" s="143">
        <f>SUM(E42,E47)</f>
        <v>1123.7780039801391</v>
      </c>
      <c r="S40" s="143">
        <f>SUM(F42,F47)</f>
        <v>1275.2047938777255</v>
      </c>
    </row>
    <row r="41" spans="2:19" s="1" customFormat="1">
      <c r="B41" s="8"/>
      <c r="C41" s="153" t="s">
        <v>66</v>
      </c>
      <c r="D41" s="128"/>
      <c r="E41" s="154">
        <v>3210.7115190000004</v>
      </c>
      <c r="F41" s="155">
        <f>D12</f>
        <v>3166.9333160403426</v>
      </c>
      <c r="G41" s="273">
        <f t="shared" ref="G41:G48" si="2">((F41/E41)-1)</f>
        <v>-1.3635047154062829E-2</v>
      </c>
      <c r="H41" s="233">
        <v>12762.915832999997</v>
      </c>
      <c r="I41" s="155">
        <v>12345.564169040343</v>
      </c>
      <c r="J41" s="273">
        <f t="shared" ref="J41:J48" si="3">((I41/H41)-1)</f>
        <v>-3.2700338184519229E-2</v>
      </c>
      <c r="K41" s="9"/>
      <c r="Q41" s="142" t="s">
        <v>67</v>
      </c>
      <c r="R41" s="143">
        <f>E43</f>
        <v>164.14858500000003</v>
      </c>
      <c r="S41" s="143">
        <f>F43</f>
        <v>182.98166939500007</v>
      </c>
    </row>
    <row r="42" spans="2:19" s="1" customFormat="1">
      <c r="B42" s="8"/>
      <c r="C42" s="153" t="s">
        <v>65</v>
      </c>
      <c r="D42" s="128"/>
      <c r="E42" s="154">
        <v>1039.004324</v>
      </c>
      <c r="F42" s="155">
        <f>D13</f>
        <v>1182.122630642883</v>
      </c>
      <c r="G42" s="273">
        <f t="shared" si="2"/>
        <v>0.13774563140594109</v>
      </c>
      <c r="H42" s="233">
        <v>4601.4091619999999</v>
      </c>
      <c r="I42" s="155">
        <v>5589.3321736428834</v>
      </c>
      <c r="J42" s="273">
        <f t="shared" si="3"/>
        <v>0.21470010096069858</v>
      </c>
      <c r="K42" s="9"/>
      <c r="Q42" s="142" t="s">
        <v>5</v>
      </c>
      <c r="R42" s="143">
        <f>E44</f>
        <v>62.415829000000002</v>
      </c>
      <c r="S42" s="143">
        <f>F44</f>
        <v>64.080211997499987</v>
      </c>
    </row>
    <row r="43" spans="2:19" s="1" customFormat="1">
      <c r="B43" s="8"/>
      <c r="C43" s="153" t="s">
        <v>67</v>
      </c>
      <c r="D43" s="128"/>
      <c r="E43" s="154">
        <v>164.14858500000003</v>
      </c>
      <c r="F43" s="155">
        <f>D14</f>
        <v>182.98166939500007</v>
      </c>
      <c r="G43" s="273">
        <f t="shared" si="2"/>
        <v>0.11473193262677261</v>
      </c>
      <c r="H43" s="233">
        <v>589.492209</v>
      </c>
      <c r="I43" s="155">
        <v>596.10603539500016</v>
      </c>
      <c r="J43" s="273">
        <f t="shared" si="3"/>
        <v>1.1219531478150913E-2</v>
      </c>
      <c r="K43" s="9"/>
    </row>
    <row r="44" spans="2:19" s="1" customFormat="1">
      <c r="B44" s="8"/>
      <c r="C44" s="153" t="s">
        <v>5</v>
      </c>
      <c r="D44" s="128"/>
      <c r="E44" s="154">
        <v>62.415829000000002</v>
      </c>
      <c r="F44" s="155">
        <f>D15</f>
        <v>64.080211997499987</v>
      </c>
      <c r="G44" s="361">
        <f t="shared" si="2"/>
        <v>2.6666040076147812E-2</v>
      </c>
      <c r="H44" s="233">
        <v>262.23167500000005</v>
      </c>
      <c r="I44" s="155">
        <v>262.62729599749997</v>
      </c>
      <c r="J44" s="156">
        <f t="shared" si="3"/>
        <v>1.5086697573811758E-3</v>
      </c>
      <c r="K44" s="9"/>
      <c r="Q44" s="142"/>
      <c r="R44" s="142"/>
      <c r="S44" s="142"/>
    </row>
    <row r="45" spans="2:19" s="1" customFormat="1">
      <c r="B45" s="8"/>
      <c r="C45" s="369" t="s">
        <v>64</v>
      </c>
      <c r="D45" s="370"/>
      <c r="E45" s="187">
        <f>SUM(E46:E47)</f>
        <v>141.0690369801392</v>
      </c>
      <c r="F45" s="188">
        <f>SUM(F46:F47)</f>
        <v>143.20332805360388</v>
      </c>
      <c r="G45" s="189">
        <f t="shared" si="2"/>
        <v>1.5129408402817512E-2</v>
      </c>
      <c r="H45" s="232">
        <f>SUM(H46:H47)</f>
        <v>661.03418592055687</v>
      </c>
      <c r="I45" s="188">
        <f>SUM(I46:I47)</f>
        <v>652.97816199402166</v>
      </c>
      <c r="J45" s="189">
        <f t="shared" si="3"/>
        <v>-1.218700045795118E-2</v>
      </c>
      <c r="K45" s="9"/>
    </row>
    <row r="46" spans="2:19" s="1" customFormat="1">
      <c r="B46" s="8"/>
      <c r="C46" s="153" t="s">
        <v>66</v>
      </c>
      <c r="D46" s="128"/>
      <c r="E46" s="154">
        <v>56.295356999999989</v>
      </c>
      <c r="F46" s="155">
        <f>E12</f>
        <v>50.121164818761351</v>
      </c>
      <c r="G46" s="156">
        <f t="shared" si="2"/>
        <v>-0.10967498050041036</v>
      </c>
      <c r="H46" s="233">
        <v>238.85173099999997</v>
      </c>
      <c r="I46" s="155">
        <v>222.08360781876132</v>
      </c>
      <c r="J46" s="156">
        <f t="shared" si="3"/>
        <v>-7.0203063260356524E-2</v>
      </c>
      <c r="K46" s="9"/>
    </row>
    <row r="47" spans="2:19" s="1" customFormat="1" ht="13.5" thickBot="1">
      <c r="B47" s="8"/>
      <c r="C47" s="157" t="s">
        <v>65</v>
      </c>
      <c r="D47" s="128"/>
      <c r="E47" s="158">
        <v>84.773679980139207</v>
      </c>
      <c r="F47" s="159">
        <f>E13</f>
        <v>93.08216323484254</v>
      </c>
      <c r="G47" s="293">
        <f t="shared" si="2"/>
        <v>9.8007816301590944E-2</v>
      </c>
      <c r="H47" s="234">
        <v>422.18245492055689</v>
      </c>
      <c r="I47" s="159">
        <v>430.89455417526034</v>
      </c>
      <c r="J47" s="160">
        <f t="shared" si="3"/>
        <v>2.0635862890945544E-2</v>
      </c>
      <c r="K47" s="9"/>
    </row>
    <row r="48" spans="2:19" s="1" customFormat="1" ht="14.25" thickTop="1" thickBot="1">
      <c r="B48" s="8"/>
      <c r="C48" s="364" t="s">
        <v>108</v>
      </c>
      <c r="D48" s="365"/>
      <c r="E48" s="190">
        <f>SUM(E40,E45)</f>
        <v>4617.349293980139</v>
      </c>
      <c r="F48" s="191">
        <f>SUM(F40,F45)</f>
        <v>4739.3211561293292</v>
      </c>
      <c r="G48" s="192">
        <f t="shared" si="2"/>
        <v>2.6415992029931612E-2</v>
      </c>
      <c r="H48" s="235">
        <f>SUM(H40,H45)</f>
        <v>18877.083064920553</v>
      </c>
      <c r="I48" s="191">
        <f>SUM(I40,I45)</f>
        <v>19446.60783606975</v>
      </c>
      <c r="J48" s="192">
        <f t="shared" si="3"/>
        <v>3.0170168197625413E-2</v>
      </c>
      <c r="K48" s="9"/>
    </row>
    <row r="49" spans="2:23" s="1" customFormat="1">
      <c r="B49" s="8"/>
      <c r="C49" s="259"/>
      <c r="D49" s="90"/>
      <c r="E49" s="91"/>
      <c r="F49" s="91"/>
      <c r="G49" s="93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3"/>
      <c r="H50" s="9"/>
      <c r="I50" s="9"/>
      <c r="J50" s="9"/>
      <c r="K50" s="9"/>
    </row>
    <row r="51" spans="2:23" s="1" customFormat="1">
      <c r="B51" s="8"/>
      <c r="C51" s="10" t="s">
        <v>119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4"/>
    </row>
    <row r="53" spans="2:23" s="1" customFormat="1" ht="13.5" thickBot="1">
      <c r="B53" s="8"/>
      <c r="C53" s="10"/>
      <c r="H53" s="9"/>
      <c r="I53" s="9"/>
      <c r="J53" s="9"/>
      <c r="K53" s="9"/>
      <c r="L53" s="254"/>
      <c r="M53" s="254"/>
    </row>
    <row r="54" spans="2:23" s="1" customFormat="1" ht="12.75" customHeight="1">
      <c r="B54" s="8"/>
      <c r="C54" s="145"/>
      <c r="D54" s="146"/>
      <c r="E54" s="374" t="s">
        <v>126</v>
      </c>
      <c r="F54" s="375"/>
      <c r="G54" s="376" t="s">
        <v>74</v>
      </c>
      <c r="H54" s="378" t="s">
        <v>127</v>
      </c>
      <c r="I54" s="379"/>
      <c r="J54" s="376" t="s">
        <v>74</v>
      </c>
      <c r="K54" s="9"/>
      <c r="L54" s="254"/>
      <c r="M54" s="254"/>
    </row>
    <row r="55" spans="2:23" s="1" customFormat="1" ht="12.75" customHeight="1">
      <c r="B55" s="8"/>
      <c r="C55" s="148" t="s">
        <v>75</v>
      </c>
      <c r="D55" s="149"/>
      <c r="E55" s="150">
        <v>2021</v>
      </c>
      <c r="F55" s="151">
        <v>2022</v>
      </c>
      <c r="G55" s="377"/>
      <c r="H55" s="231">
        <v>2021</v>
      </c>
      <c r="I55" s="151">
        <v>2022</v>
      </c>
      <c r="J55" s="377"/>
      <c r="K55" s="9"/>
      <c r="L55" s="254"/>
      <c r="M55" s="254"/>
    </row>
    <row r="56" spans="2:23" s="1" customFormat="1">
      <c r="B56" s="8"/>
      <c r="C56" s="369" t="s">
        <v>68</v>
      </c>
      <c r="D56" s="370"/>
      <c r="E56" s="187">
        <f>SUM(E57:E60)</f>
        <v>4476.2802570000003</v>
      </c>
      <c r="F56" s="188">
        <f>SUM(F57:F60)</f>
        <v>4596.1178280757258</v>
      </c>
      <c r="G56" s="189">
        <f>((F56/E56)-1)</f>
        <v>2.6771686354607471E-2</v>
      </c>
      <c r="H56" s="232">
        <f>SUM(H57:H60)</f>
        <v>18216.048878999998</v>
      </c>
      <c r="I56" s="188">
        <f>SUM(I57:I60)</f>
        <v>18793.629674075728</v>
      </c>
      <c r="J56" s="189">
        <f>((I56/H56)-1)</f>
        <v>3.1707248861281956E-2</v>
      </c>
      <c r="K56" s="9"/>
    </row>
    <row r="57" spans="2:23" s="1" customFormat="1" ht="25.5">
      <c r="B57" s="8"/>
      <c r="C57" s="367" t="s">
        <v>78</v>
      </c>
      <c r="D57" s="275" t="s">
        <v>79</v>
      </c>
      <c r="E57" s="317">
        <f>SUM(E43:E44)+19.410945</f>
        <v>245.97535900000003</v>
      </c>
      <c r="F57" s="318">
        <f>SUM(F43:F44)+18.7533784383722</f>
        <v>265.81525983087226</v>
      </c>
      <c r="G57" s="167">
        <f t="shared" ref="G57:G65" si="4">((F57/E57)-1)</f>
        <v>8.0658082628806138E-2</v>
      </c>
      <c r="H57" s="319">
        <f>SUM(H43:H44)+96.101798</f>
        <v>947.82568200000003</v>
      </c>
      <c r="I57" s="318">
        <f>SUM(I43:I44)+88.9382874383722</f>
        <v>947.67161883087226</v>
      </c>
      <c r="J57" s="167">
        <f t="shared" ref="J57:J65" si="5">((I57/H57)-1)</f>
        <v>-1.6254377999413983E-4</v>
      </c>
      <c r="K57" s="9"/>
      <c r="L57" s="254"/>
      <c r="Q57" s="142"/>
      <c r="R57" s="142"/>
      <c r="T57" s="142">
        <v>2021</v>
      </c>
      <c r="U57" s="142">
        <v>2022</v>
      </c>
      <c r="V57" s="142"/>
      <c r="W57" s="142"/>
    </row>
    <row r="58" spans="2:23" s="1" customFormat="1" ht="13.5">
      <c r="B58" s="8"/>
      <c r="C58" s="368"/>
      <c r="D58" s="276" t="s">
        <v>110</v>
      </c>
      <c r="E58" s="264">
        <v>241.65785923999962</v>
      </c>
      <c r="F58" s="322">
        <v>228.46811128500002</v>
      </c>
      <c r="G58" s="274">
        <f t="shared" si="4"/>
        <v>-5.4580256551475803E-2</v>
      </c>
      <c r="H58" s="266">
        <v>982.29986902749954</v>
      </c>
      <c r="I58" s="265">
        <v>938.21423243500078</v>
      </c>
      <c r="J58" s="274">
        <f t="shared" si="5"/>
        <v>-4.4880018803366672E-2</v>
      </c>
      <c r="K58" s="9"/>
      <c r="L58" s="254"/>
      <c r="M58" s="254"/>
      <c r="Q58" s="373" t="s">
        <v>80</v>
      </c>
      <c r="R58" s="142" t="s">
        <v>66</v>
      </c>
      <c r="T58" s="143">
        <f>SUM(E60,E64)</f>
        <v>3025.3490167600007</v>
      </c>
      <c r="U58" s="143">
        <f>SUM(F60,F64)</f>
        <v>2988.5863695741041</v>
      </c>
      <c r="V58" s="144">
        <f t="shared" ref="V58:W61" si="6">T58/T$64</f>
        <v>0.65521337549755965</v>
      </c>
      <c r="W58" s="144">
        <f t="shared" si="6"/>
        <v>0.63059376461732009</v>
      </c>
    </row>
    <row r="59" spans="2:23" s="1" customFormat="1">
      <c r="B59" s="8"/>
      <c r="C59" s="366" t="s">
        <v>80</v>
      </c>
      <c r="D59" s="277" t="s">
        <v>81</v>
      </c>
      <c r="E59" s="154">
        <f>SUM(E42:E44)-E57</f>
        <v>1019.5933789999999</v>
      </c>
      <c r="F59" s="155">
        <f>SUM(F42:F44)-F57</f>
        <v>1163.369252204511</v>
      </c>
      <c r="G59" s="273">
        <f t="shared" si="4"/>
        <v>0.14101295297300198</v>
      </c>
      <c r="H59" s="233">
        <f>SUM(H42:H44)-H57</f>
        <v>4505.3073640000002</v>
      </c>
      <c r="I59" s="155">
        <f>SUM(I42:I44)-I57</f>
        <v>5500.3938862045125</v>
      </c>
      <c r="J59" s="273">
        <f t="shared" si="5"/>
        <v>0.22086984123565601</v>
      </c>
      <c r="K59" s="9"/>
      <c r="Q59" s="373"/>
      <c r="R59" s="142" t="s">
        <v>65</v>
      </c>
      <c r="T59" s="143">
        <f>SUM(E59,E63)</f>
        <v>1096.721307980139</v>
      </c>
      <c r="U59" s="143">
        <f>SUM(F59,F63)</f>
        <v>1248.0563210798578</v>
      </c>
      <c r="V59" s="144">
        <f t="shared" si="6"/>
        <v>0.23752184167872842</v>
      </c>
      <c r="W59" s="144">
        <f t="shared" si="6"/>
        <v>0.2633407359334059</v>
      </c>
    </row>
    <row r="60" spans="2:23" s="1" customFormat="1">
      <c r="B60" s="8"/>
      <c r="C60" s="366"/>
      <c r="D60" s="278" t="s">
        <v>41</v>
      </c>
      <c r="E60" s="154">
        <f>E41-E58</f>
        <v>2969.0536597600008</v>
      </c>
      <c r="F60" s="155">
        <f>F41-F58</f>
        <v>2938.4652047553427</v>
      </c>
      <c r="G60" s="156">
        <f t="shared" si="4"/>
        <v>-1.0302425792846903E-2</v>
      </c>
      <c r="H60" s="233">
        <f>H41-H58</f>
        <v>11780.615963972497</v>
      </c>
      <c r="I60" s="155">
        <f>I41-I58</f>
        <v>11407.349936605342</v>
      </c>
      <c r="J60" s="273">
        <f t="shared" si="5"/>
        <v>-3.1684763216853762E-2</v>
      </c>
      <c r="K60" s="9"/>
      <c r="Q60" s="373" t="s">
        <v>78</v>
      </c>
      <c r="R60" s="142" t="s">
        <v>66</v>
      </c>
      <c r="T60" s="143">
        <f>E58</f>
        <v>241.65785923999962</v>
      </c>
      <c r="U60" s="143">
        <f>F58</f>
        <v>228.46811128500002</v>
      </c>
      <c r="V60" s="144">
        <f t="shared" si="6"/>
        <v>5.2336924034545242E-2</v>
      </c>
      <c r="W60" s="144">
        <f t="shared" si="6"/>
        <v>4.8206927481486216E-2</v>
      </c>
    </row>
    <row r="61" spans="2:23" s="1" customFormat="1">
      <c r="B61" s="8"/>
      <c r="C61" s="369" t="s">
        <v>64</v>
      </c>
      <c r="D61" s="370"/>
      <c r="E61" s="187">
        <f>SUM(E62:E64)</f>
        <v>141.0690369801392</v>
      </c>
      <c r="F61" s="188">
        <f>SUM(F62:F64)</f>
        <v>143.20332805360388</v>
      </c>
      <c r="G61" s="189">
        <f t="shared" si="4"/>
        <v>1.5129408402817512E-2</v>
      </c>
      <c r="H61" s="232">
        <f>SUM(H62:H64)</f>
        <v>661.03418592055687</v>
      </c>
      <c r="I61" s="188">
        <f>SUM(I62:I64)</f>
        <v>652.97816199402166</v>
      </c>
      <c r="J61" s="189">
        <f t="shared" si="5"/>
        <v>-1.218700045795118E-2</v>
      </c>
      <c r="K61" s="9"/>
      <c r="Q61" s="373"/>
      <c r="R61" s="142" t="s">
        <v>89</v>
      </c>
      <c r="T61" s="143">
        <f>E57+E62</f>
        <v>253.62111000000002</v>
      </c>
      <c r="U61" s="143">
        <f>F57+F62</f>
        <v>274.21035419036798</v>
      </c>
      <c r="V61" s="144">
        <f t="shared" si="6"/>
        <v>5.4927858789166784E-2</v>
      </c>
      <c r="W61" s="144">
        <f t="shared" si="6"/>
        <v>5.7858571967787771E-2</v>
      </c>
    </row>
    <row r="62" spans="2:23" s="1" customFormat="1">
      <c r="B62" s="8"/>
      <c r="C62" s="305" t="s">
        <v>78</v>
      </c>
      <c r="D62" s="306" t="s">
        <v>114</v>
      </c>
      <c r="E62" s="362">
        <v>7.6457510000000006</v>
      </c>
      <c r="F62" s="363">
        <v>8.3950943594956975</v>
      </c>
      <c r="G62" s="307">
        <f t="shared" si="4"/>
        <v>9.8007816301589834E-2</v>
      </c>
      <c r="H62" s="321">
        <v>58.552721999999996</v>
      </c>
      <c r="I62" s="320">
        <v>48.342899359495696</v>
      </c>
      <c r="J62" s="307">
        <f t="shared" si="5"/>
        <v>-0.17436973537292255</v>
      </c>
      <c r="K62" s="9"/>
      <c r="Q62" s="142"/>
      <c r="R62" s="142"/>
      <c r="T62" s="142"/>
      <c r="U62" s="142"/>
      <c r="V62" s="142"/>
      <c r="W62" s="142"/>
    </row>
    <row r="63" spans="2:23" s="1" customFormat="1">
      <c r="B63" s="8"/>
      <c r="C63" s="371" t="s">
        <v>80</v>
      </c>
      <c r="D63" s="277" t="s">
        <v>81</v>
      </c>
      <c r="E63" s="154">
        <f>E47-E62</f>
        <v>77.127928980139203</v>
      </c>
      <c r="F63" s="155">
        <f>F47-F62</f>
        <v>84.687068875346839</v>
      </c>
      <c r="G63" s="273">
        <f t="shared" ref="G63" si="7">((F63/E63)-1)</f>
        <v>9.8007816301590944E-2</v>
      </c>
      <c r="H63" s="233">
        <f>H47-H62</f>
        <v>363.62973292055688</v>
      </c>
      <c r="I63" s="155">
        <f>I47-I62</f>
        <v>382.55165481576466</v>
      </c>
      <c r="J63" s="273">
        <f t="shared" ref="J63" si="8">((I63/H63)-1)</f>
        <v>5.2036234064890774E-2</v>
      </c>
      <c r="K63" s="9"/>
      <c r="Q63" s="142"/>
      <c r="R63" s="142"/>
      <c r="T63" s="142"/>
      <c r="U63" s="142"/>
      <c r="V63" s="142"/>
      <c r="W63" s="142"/>
    </row>
    <row r="64" spans="2:23" s="1" customFormat="1" ht="13.5" thickBot="1">
      <c r="B64" s="8"/>
      <c r="C64" s="372"/>
      <c r="D64" s="279" t="s">
        <v>41</v>
      </c>
      <c r="E64" s="158">
        <f>E46</f>
        <v>56.295356999999989</v>
      </c>
      <c r="F64" s="159">
        <f>F46</f>
        <v>50.121164818761351</v>
      </c>
      <c r="G64" s="160">
        <f t="shared" si="4"/>
        <v>-0.10967498050041036</v>
      </c>
      <c r="H64" s="234">
        <f>H46</f>
        <v>238.85173099999997</v>
      </c>
      <c r="I64" s="159">
        <f>I46</f>
        <v>222.08360781876132</v>
      </c>
      <c r="J64" s="160">
        <f t="shared" si="5"/>
        <v>-7.0203063260356524E-2</v>
      </c>
      <c r="K64" s="9"/>
      <c r="Q64" s="142"/>
      <c r="R64" s="142"/>
      <c r="T64" s="143">
        <f>SUM(T58:T61)</f>
        <v>4617.349293980139</v>
      </c>
      <c r="U64" s="143">
        <f>SUM(U58:U61)</f>
        <v>4739.3211561293301</v>
      </c>
      <c r="V64" s="142"/>
      <c r="W64" s="142"/>
    </row>
    <row r="65" spans="2:22" s="1" customFormat="1" ht="14.25" thickTop="1" thickBot="1">
      <c r="B65" s="8"/>
      <c r="C65" s="364" t="s">
        <v>108</v>
      </c>
      <c r="D65" s="365"/>
      <c r="E65" s="190">
        <f>SUM(E56,E61)</f>
        <v>4617.3492939801399</v>
      </c>
      <c r="F65" s="191">
        <f>SUM(F56,F61)</f>
        <v>4739.3211561293301</v>
      </c>
      <c r="G65" s="192">
        <f t="shared" si="4"/>
        <v>2.6415992029931612E-2</v>
      </c>
      <c r="H65" s="235">
        <f>SUM(H56,H61)</f>
        <v>18877.083064920556</v>
      </c>
      <c r="I65" s="191">
        <f>SUM(I56,I61)</f>
        <v>19446.60783606975</v>
      </c>
      <c r="J65" s="192">
        <f t="shared" si="5"/>
        <v>3.0170168197625191E-2</v>
      </c>
      <c r="K65" s="9"/>
      <c r="Q65" s="142"/>
      <c r="R65" s="142"/>
      <c r="S65" s="142"/>
      <c r="T65" s="142"/>
      <c r="U65" s="142"/>
      <c r="V65" s="142"/>
    </row>
    <row r="66" spans="2:22" s="1" customFormat="1">
      <c r="B66" s="8"/>
      <c r="C66" s="259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3"/>
      <c r="H83" s="9"/>
      <c r="I83" s="9"/>
      <c r="J83" s="9"/>
      <c r="K83" s="9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zoomScaleNormal="100" zoomScaleSheetLayoutView="100" workbookViewId="0">
      <selection activeCell="C3" sqref="C3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7" width="11.7109375" style="20" customWidth="1"/>
    <col min="8" max="8" width="12.7109375" style="20" customWidth="1"/>
    <col min="9" max="9" width="9.7109375" style="20" customWidth="1"/>
    <col min="10" max="10" width="6.85546875" style="20" customWidth="1"/>
    <col min="11" max="11" width="6.85546875" style="54" customWidth="1"/>
    <col min="12" max="12" width="27.5703125" style="54" customWidth="1"/>
    <col min="13" max="13" width="21.85546875" style="55" customWidth="1"/>
    <col min="14" max="21" width="11.42578125" style="55"/>
    <col min="22" max="25" width="11.42578125" style="57"/>
    <col min="26" max="28" width="11.425781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5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5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3217.0544808591039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1166.8123863981189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81.090797200517045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27.148472797867925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182.98166939500007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64.080211997499987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80">
        <f t="shared" si="0"/>
        <v>0.15313748122223836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4739.3211561293292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11"/>
      <c r="G23" s="258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121</v>
      </c>
      <c r="D24" s="9"/>
      <c r="E24" s="13"/>
      <c r="F24" s="13"/>
      <c r="G24" s="13"/>
      <c r="H24" s="26"/>
      <c r="I24" s="26"/>
      <c r="J24" s="294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5" thickBot="1">
      <c r="B25" s="10"/>
      <c r="C25" s="127"/>
      <c r="D25" s="127"/>
      <c r="E25" s="163"/>
      <c r="F25" s="163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295" t="s">
        <v>61</v>
      </c>
      <c r="D26" s="388" t="s">
        <v>126</v>
      </c>
      <c r="E26" s="388"/>
      <c r="F26" s="384" t="s">
        <v>74</v>
      </c>
      <c r="G26" s="382" t="s">
        <v>127</v>
      </c>
      <c r="H26" s="383"/>
      <c r="I26" s="384" t="s">
        <v>74</v>
      </c>
      <c r="J26" s="20"/>
      <c r="K26" s="54"/>
      <c r="L26" s="54"/>
      <c r="M26" s="55"/>
      <c r="N26" s="70">
        <v>2021</v>
      </c>
      <c r="O26" s="70">
        <v>2022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296"/>
      <c r="D27" s="94">
        <v>2021</v>
      </c>
      <c r="E27" s="95">
        <v>2022</v>
      </c>
      <c r="F27" s="385"/>
      <c r="G27" s="236">
        <v>2021</v>
      </c>
      <c r="H27" s="95">
        <v>2022</v>
      </c>
      <c r="I27" s="385"/>
      <c r="J27" s="20"/>
      <c r="K27" s="54"/>
      <c r="L27" s="54"/>
      <c r="M27" s="55" t="s">
        <v>85</v>
      </c>
      <c r="N27" s="70">
        <f t="shared" ref="N27:O29" si="1">D28</f>
        <v>3267.0068760000004</v>
      </c>
      <c r="O27" s="70">
        <f t="shared" si="1"/>
        <v>3217.0544808591039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4" t="s">
        <v>85</v>
      </c>
      <c r="D28" s="165">
        <f>'Resumen (G)'!E41+'Resumen (G)'!E46</f>
        <v>3267.0068760000004</v>
      </c>
      <c r="E28" s="166">
        <f>'Resumen (G)'!F41+'Resumen (G)'!F46</f>
        <v>3217.0544808591039</v>
      </c>
      <c r="F28" s="167">
        <f>+E28/D28-1</f>
        <v>-1.528995714941872E-2</v>
      </c>
      <c r="G28" s="249">
        <f>'Resumen (G)'!H41+'Resumen (G)'!H46</f>
        <v>13001.767563999998</v>
      </c>
      <c r="H28" s="166">
        <f>'Resumen (G)'!I41+'Resumen (G)'!I46</f>
        <v>12567.647776859105</v>
      </c>
      <c r="I28" s="167">
        <f>+H28/G28-1</f>
        <v>-3.3389289956460066E-2</v>
      </c>
      <c r="J28" s="294"/>
      <c r="K28" s="54"/>
      <c r="L28" s="54"/>
      <c r="M28" s="55" t="s">
        <v>2</v>
      </c>
      <c r="N28" s="70">
        <f t="shared" si="1"/>
        <v>1023.0942259999999</v>
      </c>
      <c r="O28" s="70">
        <f t="shared" si="1"/>
        <v>1166.8123863981189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68" t="s">
        <v>2</v>
      </c>
      <c r="D29" s="169">
        <v>1023.0942259999999</v>
      </c>
      <c r="E29" s="170">
        <v>1166.8123863981189</v>
      </c>
      <c r="F29" s="171">
        <f t="shared" ref="F29:F35" si="2">+E29/D29-1</f>
        <v>0.14047402159624633</v>
      </c>
      <c r="G29" s="250">
        <v>4561.718605</v>
      </c>
      <c r="H29" s="170">
        <v>5492.0862573981185</v>
      </c>
      <c r="I29" s="171">
        <f t="shared" ref="I29:I35" si="3">+H29/G29-1</f>
        <v>0.20395112740587784</v>
      </c>
      <c r="J29" s="256"/>
      <c r="K29" s="257"/>
      <c r="L29" s="54"/>
      <c r="M29" s="55" t="s">
        <v>84</v>
      </c>
      <c r="N29" s="70">
        <f t="shared" si="1"/>
        <v>73.414537980142995</v>
      </c>
      <c r="O29" s="70">
        <f t="shared" si="1"/>
        <v>81.090797200517045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68" t="s">
        <v>3</v>
      </c>
      <c r="D30" s="169">
        <f>'Resumen (G)'!E32-SUM('TipoRecurso (G)'!D28:D29,'TipoRecurso (G)'!D31:D34)</f>
        <v>73.414537980142995</v>
      </c>
      <c r="E30" s="170">
        <f>'Resumen (G)'!F32-SUM('TipoRecurso (G)'!E28:E29,'TipoRecurso (G)'!E31:E34)</f>
        <v>81.090797200517045</v>
      </c>
      <c r="F30" s="171">
        <f t="shared" si="2"/>
        <v>0.1045604785042753</v>
      </c>
      <c r="G30" s="250">
        <f>'Resumen (G)'!H32-SUM('TipoRecurso (G)'!G28:G29,'TipoRecurso (G)'!G31:G34)</f>
        <v>306.3254989205634</v>
      </c>
      <c r="H30" s="170">
        <f>'Resumen (G)'!I32-SUM('TipoRecurso (G)'!H28:H29,'TipoRecurso (G)'!H31:H34)</f>
        <v>390.14814614092757</v>
      </c>
      <c r="I30" s="171">
        <f t="shared" si="3"/>
        <v>0.27363914370739706</v>
      </c>
      <c r="J30" s="294"/>
      <c r="K30" s="54"/>
      <c r="L30" s="54"/>
      <c r="M30" s="55" t="s">
        <v>4</v>
      </c>
      <c r="N30" s="98">
        <f>D34</f>
        <v>0.21254400000000001</v>
      </c>
      <c r="O30" s="98">
        <f>E34</f>
        <v>0.15313748122223836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68" t="s">
        <v>6</v>
      </c>
      <c r="D31" s="399">
        <f>'Resumen (G)'!E57+'Resumen (G)'!E62-SUM('TipoRecurso (G)'!D32:D33)</f>
        <v>27.056695999999988</v>
      </c>
      <c r="E31" s="400">
        <f>'Resumen (G)'!F57+'Resumen (G)'!F62-SUM('TipoRecurso (G)'!E32:E33)</f>
        <v>27.148472797867925</v>
      </c>
      <c r="F31" s="358">
        <f t="shared" si="2"/>
        <v>3.39201792665067E-3</v>
      </c>
      <c r="G31" s="250">
        <f>'Resumen (G)'!H57+'Resumen (G)'!H62-SUM('TipoRecurso (G)'!G32:G33)</f>
        <v>154.65452000000005</v>
      </c>
      <c r="H31" s="170">
        <f>'Resumen (G)'!I57+'Resumen (G)'!I62-SUM('TipoRecurso (G)'!H32:H33)</f>
        <v>137.28118679786792</v>
      </c>
      <c r="I31" s="171">
        <f t="shared" si="3"/>
        <v>-0.11233640764028185</v>
      </c>
      <c r="J31" s="20"/>
      <c r="K31" s="54"/>
      <c r="L31" s="54"/>
      <c r="M31" s="55" t="s">
        <v>90</v>
      </c>
      <c r="N31" s="70">
        <f t="shared" ref="N31:O33" si="4">D31</f>
        <v>27.056695999999988</v>
      </c>
      <c r="O31" s="70">
        <f t="shared" si="4"/>
        <v>27.148472797867925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68" t="s">
        <v>14</v>
      </c>
      <c r="D32" s="169">
        <f>'Resumen (G)'!E43</f>
        <v>164.14858500000003</v>
      </c>
      <c r="E32" s="170">
        <f>'Resumen (G)'!F43</f>
        <v>182.98166939500007</v>
      </c>
      <c r="F32" s="171">
        <f t="shared" si="2"/>
        <v>0.11473193262677261</v>
      </c>
      <c r="G32" s="250">
        <f>'Resumen (G)'!H43</f>
        <v>589.492209</v>
      </c>
      <c r="H32" s="170">
        <f>'Resumen (G)'!I43</f>
        <v>596.10603539500016</v>
      </c>
      <c r="I32" s="171">
        <f t="shared" si="3"/>
        <v>1.1219531478150913E-2</v>
      </c>
      <c r="J32" s="20"/>
      <c r="K32" s="54"/>
      <c r="L32" s="54"/>
      <c r="M32" s="55" t="s">
        <v>14</v>
      </c>
      <c r="N32" s="70">
        <f t="shared" si="4"/>
        <v>164.14858500000003</v>
      </c>
      <c r="O32" s="70">
        <f t="shared" si="4"/>
        <v>182.98166939500007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68" t="s">
        <v>5</v>
      </c>
      <c r="D33" s="169">
        <f>'Resumen (G)'!E44</f>
        <v>62.415829000000002</v>
      </c>
      <c r="E33" s="170">
        <f>'Resumen (G)'!F44</f>
        <v>64.080211997499987</v>
      </c>
      <c r="F33" s="171">
        <f t="shared" si="2"/>
        <v>2.6666040076147812E-2</v>
      </c>
      <c r="G33" s="250">
        <f>'Resumen (G)'!H44</f>
        <v>262.23167500000005</v>
      </c>
      <c r="H33" s="170">
        <f>'Resumen (G)'!I44</f>
        <v>262.62729599749997</v>
      </c>
      <c r="I33" s="358">
        <f t="shared" si="3"/>
        <v>1.5086697573811758E-3</v>
      </c>
      <c r="J33" s="20"/>
      <c r="K33" s="54"/>
      <c r="L33" s="54"/>
      <c r="M33" s="55" t="s">
        <v>5</v>
      </c>
      <c r="N33" s="70">
        <f t="shared" si="4"/>
        <v>62.415829000000002</v>
      </c>
      <c r="O33" s="70">
        <f t="shared" si="4"/>
        <v>64.080211997499987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5" thickBot="1">
      <c r="C34" s="172" t="s">
        <v>4</v>
      </c>
      <c r="D34" s="355">
        <v>0.21254400000000001</v>
      </c>
      <c r="E34" s="344">
        <v>0.15313748122223836</v>
      </c>
      <c r="F34" s="173">
        <f t="shared" si="2"/>
        <v>-0.27950221496613237</v>
      </c>
      <c r="G34" s="356">
        <v>0.89299299999999993</v>
      </c>
      <c r="H34" s="357">
        <v>0.71113748122223841</v>
      </c>
      <c r="I34" s="173">
        <f t="shared" si="3"/>
        <v>-0.20364719407404264</v>
      </c>
      <c r="J34" s="20"/>
      <c r="K34" s="54"/>
      <c r="L34" s="54"/>
      <c r="M34" s="96"/>
      <c r="N34" s="97">
        <f>SUM(N27:N33)</f>
        <v>4617.3492939801426</v>
      </c>
      <c r="O34" s="97">
        <f>SUM(O27:O33)</f>
        <v>4739.3211561293292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297" t="s">
        <v>108</v>
      </c>
      <c r="D35" s="298">
        <f>SUM(D28:D34)</f>
        <v>4617.3492939801426</v>
      </c>
      <c r="E35" s="299">
        <f>SUM(E28:E34)</f>
        <v>4739.3211561293292</v>
      </c>
      <c r="F35" s="300">
        <f t="shared" si="2"/>
        <v>2.6415992029930946E-2</v>
      </c>
      <c r="G35" s="301">
        <f>SUM(G28:G34)</f>
        <v>18877.08306492056</v>
      </c>
      <c r="H35" s="299">
        <f>SUM(H28:H34)</f>
        <v>19446.607836069743</v>
      </c>
      <c r="I35" s="302">
        <f t="shared" si="3"/>
        <v>3.0170168197624525E-2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4"/>
      <c r="D36" s="174"/>
      <c r="E36" s="175"/>
      <c r="F36" s="176"/>
      <c r="G36" s="17"/>
      <c r="H36" s="17"/>
      <c r="I36" s="18"/>
      <c r="J36" s="20"/>
      <c r="K36" s="54"/>
      <c r="L36" s="54"/>
      <c r="M36" s="55"/>
      <c r="N36" s="97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27"/>
      <c r="N39" s="227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27">
        <f t="shared" ref="M40:N46" si="5">N27/N$34</f>
        <v>0.70755029953210435</v>
      </c>
      <c r="N40" s="227">
        <f t="shared" si="5"/>
        <v>0.67880069209880645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27">
        <f t="shared" si="5"/>
        <v>0.22157609504090506</v>
      </c>
      <c r="N41" s="227">
        <f t="shared" si="5"/>
        <v>0.2461982102413737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27">
        <f t="shared" si="5"/>
        <v>1.5899715032574428E-2</v>
      </c>
      <c r="N42" s="227">
        <f t="shared" si="5"/>
        <v>1.7110213578930583E-2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27">
        <f t="shared" si="5"/>
        <v>4.6031605249597145E-5</v>
      </c>
      <c r="N43" s="227">
        <f t="shared" si="5"/>
        <v>3.2312113101722762E-5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27">
        <f t="shared" si="5"/>
        <v>5.859789735915168E-3</v>
      </c>
      <c r="N44" s="227">
        <f t="shared" si="5"/>
        <v>5.7283462976036141E-3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27">
        <f t="shared" si="5"/>
        <v>3.5550393645550779E-2</v>
      </c>
      <c r="N45" s="227">
        <f t="shared" si="5"/>
        <v>3.8609257184090855E-2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27">
        <f t="shared" si="5"/>
        <v>1.3517675407700795E-2</v>
      </c>
      <c r="N46" s="227">
        <f t="shared" si="5"/>
        <v>1.3520968486093313E-2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27">
        <f>N34/N$34</f>
        <v>1</v>
      </c>
      <c r="N47" s="227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5">
      <c r="B49" s="23" t="s">
        <v>100</v>
      </c>
      <c r="D49" s="26"/>
      <c r="E49" s="26"/>
      <c r="F49" s="26"/>
      <c r="G49" s="26"/>
      <c r="H49" s="26"/>
      <c r="I49" s="26"/>
      <c r="M49" s="228">
        <f>SUM(M39:M46)</f>
        <v>1.0000000000000002</v>
      </c>
      <c r="N49" s="228">
        <f>SUM(N39:N46)</f>
        <v>1.0000000000000002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122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5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86" t="s">
        <v>91</v>
      </c>
      <c r="D53" s="388" t="s">
        <v>126</v>
      </c>
      <c r="E53" s="388"/>
      <c r="F53" s="384" t="s">
        <v>74</v>
      </c>
      <c r="G53" s="382" t="s">
        <v>127</v>
      </c>
      <c r="H53" s="383"/>
      <c r="I53" s="384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87"/>
      <c r="D54" s="94">
        <v>2021</v>
      </c>
      <c r="E54" s="95">
        <v>2022</v>
      </c>
      <c r="F54" s="385"/>
      <c r="G54" s="236">
        <v>2021</v>
      </c>
      <c r="H54" s="95">
        <v>2022</v>
      </c>
      <c r="I54" s="385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4" t="s">
        <v>42</v>
      </c>
      <c r="D55" s="285">
        <f>SUM(D28:D30,D34)</f>
        <v>4363.7281839801435</v>
      </c>
      <c r="E55" s="286">
        <f>SUM(E28:E30,E34)</f>
        <v>4465.1108019389621</v>
      </c>
      <c r="F55" s="287">
        <f>+E55/D55-1</f>
        <v>2.3233027742426415E-2</v>
      </c>
      <c r="G55" s="288">
        <f>SUM(G28:G30,G34)</f>
        <v>17870.704660920561</v>
      </c>
      <c r="H55" s="286">
        <f>SUM(H28:H30,H34)</f>
        <v>18450.593317879375</v>
      </c>
      <c r="I55" s="287">
        <f>+H55/G55-1</f>
        <v>3.2449120947474874E-2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75" thickBot="1">
      <c r="C56" s="289" t="s">
        <v>104</v>
      </c>
      <c r="D56" s="350">
        <f>SUM(D31:D33)</f>
        <v>253.62111000000002</v>
      </c>
      <c r="E56" s="290">
        <f>SUM(E31:E33)</f>
        <v>274.21035419036798</v>
      </c>
      <c r="F56" s="353">
        <f>+E56/D56-1</f>
        <v>8.1181113789652537E-2</v>
      </c>
      <c r="G56" s="352">
        <f>SUM(G31:G33)</f>
        <v>1006.378404</v>
      </c>
      <c r="H56" s="347">
        <f>SUM(H31:H33)</f>
        <v>996.01451819036811</v>
      </c>
      <c r="I56" s="351">
        <f>+H56/G56-1</f>
        <v>-1.0298199731273217E-2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1" t="s">
        <v>71</v>
      </c>
      <c r="D57" s="99">
        <f>SUM(D55:D56)</f>
        <v>4617.3492939801436</v>
      </c>
      <c r="E57" s="100">
        <f>SUM(E55:E56)</f>
        <v>4739.3211561293301</v>
      </c>
      <c r="F57" s="101">
        <f>+E57/D57-1</f>
        <v>2.6415992029930946E-2</v>
      </c>
      <c r="G57" s="251">
        <f>SUM(G55:G56)</f>
        <v>18877.08306492056</v>
      </c>
      <c r="H57" s="100">
        <f>SUM(H55:H56)</f>
        <v>19446.607836069743</v>
      </c>
      <c r="I57" s="101">
        <f>+H57/G57-1</f>
        <v>3.0170168197624525E-2</v>
      </c>
      <c r="N57" s="74"/>
      <c r="O57" s="74"/>
      <c r="P57" s="74"/>
      <c r="Q57" s="74"/>
      <c r="R57" s="74"/>
      <c r="S57" s="74"/>
      <c r="T57" s="74"/>
      <c r="U57" s="74"/>
    </row>
    <row r="58" spans="2:28" ht="13.5" thickBot="1">
      <c r="C58" s="124" t="s">
        <v>8</v>
      </c>
      <c r="D58" s="102">
        <f>+D56/D57</f>
        <v>5.4927858789166728E-2</v>
      </c>
      <c r="E58" s="103">
        <f>+E56/E57</f>
        <v>5.7858571967787771E-2</v>
      </c>
      <c r="F58" s="104"/>
      <c r="G58" s="252">
        <f>+G56/G57</f>
        <v>5.3312177550892986E-2</v>
      </c>
      <c r="H58" s="103">
        <f>+H56/H57</f>
        <v>5.1217905281298028E-2</v>
      </c>
      <c r="I58" s="104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0" t="s">
        <v>105</v>
      </c>
      <c r="D59" s="122"/>
      <c r="E59" s="122"/>
      <c r="F59" s="123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5.5">
      <c r="L63" s="85" t="s">
        <v>57</v>
      </c>
      <c r="M63" s="76">
        <f>D55</f>
        <v>4363.7281839801435</v>
      </c>
      <c r="N63" s="76">
        <f>E55</f>
        <v>4465.1108019389621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8.25">
      <c r="B64" s="19"/>
      <c r="J64" s="20"/>
      <c r="K64" s="75"/>
      <c r="L64" s="85" t="s">
        <v>58</v>
      </c>
      <c r="M64" s="76">
        <f>D56</f>
        <v>253.62111000000002</v>
      </c>
      <c r="N64" s="76">
        <f>E56</f>
        <v>274.21035419036798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0" t="s">
        <v>105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5">
      <c r="B72" s="23" t="s">
        <v>115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5">
      <c r="B74" s="23"/>
      <c r="C74" s="10" t="s">
        <v>123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57"/>
      <c r="L75" s="57"/>
      <c r="M75" s="55"/>
      <c r="N75" s="55">
        <v>2021</v>
      </c>
      <c r="O75" s="55">
        <v>2022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12"/>
      <c r="D76" s="388" t="s">
        <v>126</v>
      </c>
      <c r="E76" s="388"/>
      <c r="F76" s="105" t="s">
        <v>74</v>
      </c>
      <c r="G76" s="382" t="s">
        <v>127</v>
      </c>
      <c r="H76" s="383"/>
      <c r="I76" s="225" t="s">
        <v>74</v>
      </c>
      <c r="J76" s="19"/>
      <c r="K76" s="57"/>
      <c r="L76" s="57"/>
      <c r="M76" s="55" t="s">
        <v>96</v>
      </c>
      <c r="N76" s="70">
        <f>D78</f>
        <v>1.9062896025000002</v>
      </c>
      <c r="O76" s="70">
        <f>E78</f>
        <v>47.312799334999994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348" t="s">
        <v>95</v>
      </c>
      <c r="D77" s="349">
        <v>2021</v>
      </c>
      <c r="E77" s="95">
        <v>2022</v>
      </c>
      <c r="F77" s="106"/>
      <c r="G77" s="340">
        <v>2021</v>
      </c>
      <c r="H77" s="95">
        <v>2022</v>
      </c>
      <c r="I77" s="226"/>
      <c r="J77" s="19"/>
      <c r="K77" s="57"/>
      <c r="L77" s="57"/>
      <c r="M77" s="55" t="s">
        <v>97</v>
      </c>
      <c r="N77" s="70">
        <f>D79</f>
        <v>4474.3739673974997</v>
      </c>
      <c r="O77" s="70">
        <f>E79</f>
        <v>4548.805028740725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3" t="s">
        <v>96</v>
      </c>
      <c r="D78" s="154">
        <v>1.9062896025000002</v>
      </c>
      <c r="E78" s="346">
        <v>47.312799334999994</v>
      </c>
      <c r="F78" s="156">
        <f>((E78/D78)-1)</f>
        <v>23.819313536071174</v>
      </c>
      <c r="G78" s="233">
        <v>5.1403558650000001</v>
      </c>
      <c r="H78" s="346">
        <v>117.5541779525</v>
      </c>
      <c r="I78" s="156">
        <f>((H78/G78)-1)</f>
        <v>21.868879322715919</v>
      </c>
      <c r="J78" s="19"/>
      <c r="K78" s="255"/>
      <c r="L78" s="57"/>
    </row>
    <row r="79" spans="2:28" ht="16.5" customHeight="1" thickBot="1">
      <c r="C79" s="291" t="s">
        <v>97</v>
      </c>
      <c r="D79" s="158">
        <f>'Resumen (G)'!E40-D78</f>
        <v>4474.3739673974997</v>
      </c>
      <c r="E79" s="323">
        <f>'Resumen (G)'!F40-E78</f>
        <v>4548.805028740725</v>
      </c>
      <c r="F79" s="160">
        <f>((E79/D79)-1)</f>
        <v>1.6634966564164522E-2</v>
      </c>
      <c r="G79" s="234">
        <f>'Resumen (G)'!H40-G78</f>
        <v>18210.908523134993</v>
      </c>
      <c r="H79" s="323">
        <f>'Resumen (G)'!I40-H78</f>
        <v>18676.075496123227</v>
      </c>
      <c r="I79" s="160">
        <f>((H79/G79)-1)</f>
        <v>2.5543315007995782E-2</v>
      </c>
      <c r="J79" s="19"/>
      <c r="K79" s="57"/>
      <c r="L79" s="57"/>
      <c r="M79" s="70"/>
      <c r="N79" s="70"/>
      <c r="O79" s="70"/>
    </row>
    <row r="80" spans="2:28" ht="14.25" thickTop="1" thickBot="1">
      <c r="C80" s="125" t="s">
        <v>94</v>
      </c>
      <c r="D80" s="229">
        <f>SUM(D78:D79)</f>
        <v>4476.2802569999994</v>
      </c>
      <c r="E80" s="324">
        <f>SUM(E78:E79)</f>
        <v>4596.1178280757249</v>
      </c>
      <c r="F80" s="126"/>
      <c r="G80" s="253">
        <f>SUM(G78:G79)</f>
        <v>18216.048878999994</v>
      </c>
      <c r="H80" s="324">
        <f>SUM(H78:H79)</f>
        <v>18793.629674075728</v>
      </c>
      <c r="I80" s="126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5"/>
  <sheetViews>
    <sheetView view="pageBreakPreview" zoomScale="90" zoomScaleNormal="100" zoomScaleSheetLayoutView="90" workbookViewId="0">
      <selection activeCell="C3" sqref="C3"/>
    </sheetView>
  </sheetViews>
  <sheetFormatPr baseColWidth="10" defaultColWidth="11.42578125" defaultRowHeight="12.75"/>
  <cols>
    <col min="1" max="1" width="5.42578125" customWidth="1"/>
    <col min="2" max="2" width="3.85546875" style="19" customWidth="1"/>
    <col min="3" max="3" width="27.85546875" style="20" customWidth="1"/>
    <col min="4" max="5" width="11.7109375" style="20" customWidth="1"/>
    <col min="6" max="6" width="9.7109375" style="20" customWidth="1"/>
    <col min="7" max="7" width="13" style="20" customWidth="1"/>
    <col min="8" max="8" width="13.140625" style="20" customWidth="1"/>
    <col min="9" max="9" width="9.5703125" style="20" customWidth="1"/>
    <col min="10" max="10" width="3.7109375" style="20" customWidth="1"/>
    <col min="11" max="11" width="9" customWidth="1"/>
    <col min="13" max="13" width="19.140625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124</v>
      </c>
      <c r="D4" s="3"/>
      <c r="E4" s="23"/>
      <c r="F4" s="23"/>
      <c r="G4" s="23"/>
      <c r="H4" s="23"/>
      <c r="I4" s="23"/>
      <c r="J4" s="23"/>
    </row>
    <row r="6" spans="2:13">
      <c r="C6" s="10" t="s">
        <v>129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5" t="s">
        <v>44</v>
      </c>
      <c r="D8" s="396" t="s">
        <v>126</v>
      </c>
      <c r="E8" s="397"/>
      <c r="F8" s="384" t="s">
        <v>74</v>
      </c>
      <c r="G8" s="382" t="s">
        <v>127</v>
      </c>
      <c r="H8" s="383"/>
      <c r="I8" s="384" t="s">
        <v>74</v>
      </c>
      <c r="J8" s="26"/>
    </row>
    <row r="9" spans="2:13" s="1" customFormat="1" ht="13.5" customHeight="1">
      <c r="B9" s="19"/>
      <c r="C9" s="206"/>
      <c r="D9" s="109">
        <v>2021</v>
      </c>
      <c r="E9" s="95">
        <v>2022</v>
      </c>
      <c r="F9" s="385"/>
      <c r="G9" s="340">
        <v>2021</v>
      </c>
      <c r="H9" s="95">
        <v>2022</v>
      </c>
      <c r="I9" s="385"/>
      <c r="J9" s="26"/>
    </row>
    <row r="10" spans="2:13">
      <c r="C10" s="193" t="s">
        <v>10</v>
      </c>
      <c r="D10" s="194">
        <f>'Por Región (G)'!O8</f>
        <v>312.33468588013932</v>
      </c>
      <c r="E10" s="195">
        <f>'Por Región (G)'!P8</f>
        <v>385.29340141917191</v>
      </c>
      <c r="F10" s="196">
        <f>+E10/D10-1</f>
        <v>0.23359146081851123</v>
      </c>
      <c r="G10" s="335">
        <f>'Por Región (G)'!Q8</f>
        <v>1262.5940085205573</v>
      </c>
      <c r="H10" s="195">
        <f>'Por Región (G)'!R8</f>
        <v>1347.6443290595896</v>
      </c>
      <c r="I10" s="196">
        <f>+H10/G10-1</f>
        <v>6.7361574635293797E-2</v>
      </c>
      <c r="J10" s="26"/>
      <c r="L10" s="142" t="s">
        <v>9</v>
      </c>
      <c r="M10" s="230">
        <f>E11</f>
        <v>3727.2105821418231</v>
      </c>
    </row>
    <row r="11" spans="2:13">
      <c r="C11" s="197" t="s">
        <v>9</v>
      </c>
      <c r="D11" s="198">
        <f>'Por Región (G)'!O9</f>
        <v>3613.3371040999991</v>
      </c>
      <c r="E11" s="199">
        <f>'Por Región (G)'!P9</f>
        <v>3727.2105821418231</v>
      </c>
      <c r="F11" s="200">
        <f>+E11/D11-1</f>
        <v>3.1514767308207459E-2</v>
      </c>
      <c r="G11" s="336">
        <f>'Por Región (G)'!Q9</f>
        <v>14899.156640400002</v>
      </c>
      <c r="H11" s="199">
        <f>'Por Región (G)'!R9</f>
        <v>15469.432586441824</v>
      </c>
      <c r="I11" s="200">
        <f>+H11/G11-1</f>
        <v>3.8275719881720294E-2</v>
      </c>
      <c r="J11" s="26"/>
      <c r="L11" s="142" t="s">
        <v>12</v>
      </c>
      <c r="M11" s="230">
        <f>E12</f>
        <v>592.26441456833334</v>
      </c>
    </row>
    <row r="12" spans="2:13">
      <c r="C12" s="197" t="s">
        <v>12</v>
      </c>
      <c r="D12" s="198">
        <f>'Por Región (G)'!O10</f>
        <v>658.24073826666665</v>
      </c>
      <c r="E12" s="199">
        <f>'Por Región (G)'!P10</f>
        <v>592.26441456833334</v>
      </c>
      <c r="F12" s="200">
        <f>+E12/D12-1</f>
        <v>-0.10023129816010412</v>
      </c>
      <c r="G12" s="336">
        <f>'Por Región (G)'!Q10</f>
        <v>2582.7823390666667</v>
      </c>
      <c r="H12" s="199">
        <f>'Por Región (G)'!R10</f>
        <v>2491.1892453683336</v>
      </c>
      <c r="I12" s="200">
        <f>+H12/G12-1</f>
        <v>-3.5462954935425173E-2</v>
      </c>
      <c r="J12" s="26"/>
      <c r="L12" s="142" t="s">
        <v>10</v>
      </c>
      <c r="M12" s="230">
        <f>E10</f>
        <v>385.29340141917191</v>
      </c>
    </row>
    <row r="13" spans="2:13">
      <c r="C13" s="201" t="s">
        <v>11</v>
      </c>
      <c r="D13" s="202">
        <f>'Por Región (G)'!O11</f>
        <v>33.436765733333331</v>
      </c>
      <c r="E13" s="203">
        <f>'Por Región (G)'!P11</f>
        <v>34.552758000000004</v>
      </c>
      <c r="F13" s="204">
        <f>+E13/D13-1</f>
        <v>3.33762025779345E-2</v>
      </c>
      <c r="G13" s="337">
        <f>'Por Región (G)'!Q11</f>
        <v>132.55007693333334</v>
      </c>
      <c r="H13" s="203">
        <f>'Por Región (G)'!R11</f>
        <v>138.3416752</v>
      </c>
      <c r="I13" s="204">
        <f>+H13/G13-1</f>
        <v>4.3693662053320148E-2</v>
      </c>
      <c r="J13" s="26"/>
      <c r="L13" s="142" t="s">
        <v>11</v>
      </c>
      <c r="M13" s="230">
        <f>E13</f>
        <v>34.552758000000004</v>
      </c>
    </row>
    <row r="14" spans="2:13" ht="13.5" thickBot="1">
      <c r="C14" s="207" t="s">
        <v>108</v>
      </c>
      <c r="D14" s="208">
        <f>SUM(D10:D13)</f>
        <v>4617.3492939801381</v>
      </c>
      <c r="E14" s="209">
        <f>SUM(E10:E13)</f>
        <v>4739.3211561293283</v>
      </c>
      <c r="F14" s="210">
        <f>+E14/D14-1</f>
        <v>2.6415992029931834E-2</v>
      </c>
      <c r="G14" s="338">
        <f>SUM(G10:G13)</f>
        <v>18877.08306492056</v>
      </c>
      <c r="H14" s="209">
        <f>SUM(H10:H13)</f>
        <v>19446.607836069747</v>
      </c>
      <c r="I14" s="210">
        <f>+H14/G14-1</f>
        <v>3.0170168197624747E-2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93" t="s">
        <v>93</v>
      </c>
      <c r="D18" s="393"/>
      <c r="E18" s="393"/>
      <c r="F18" s="393"/>
      <c r="G18" s="394" t="s">
        <v>107</v>
      </c>
      <c r="H18" s="395"/>
      <c r="I18" s="395"/>
      <c r="J18" s="395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30" t="s">
        <v>12</v>
      </c>
      <c r="R44" s="30" t="s">
        <v>38</v>
      </c>
    </row>
    <row r="45" spans="3:26" ht="13.5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5">
      <c r="C49" s="25"/>
      <c r="D49" s="19"/>
      <c r="E49" s="19"/>
      <c r="F49" s="19"/>
      <c r="G49" s="19"/>
      <c r="H49" s="19"/>
      <c r="I49" s="19"/>
      <c r="J49" s="19"/>
    </row>
    <row r="50" spans="3:15">
      <c r="C50" s="25"/>
      <c r="D50" s="19"/>
      <c r="E50" s="19"/>
      <c r="F50" s="19"/>
      <c r="G50" s="19"/>
      <c r="H50" s="19"/>
      <c r="I50" s="19"/>
      <c r="J50" s="19"/>
    </row>
    <row r="51" spans="3:15">
      <c r="C51" s="25"/>
      <c r="D51" s="19"/>
      <c r="E51" s="19"/>
      <c r="F51" s="19"/>
      <c r="G51" s="19"/>
      <c r="H51" s="19"/>
      <c r="I51" s="19"/>
      <c r="J51" s="19"/>
    </row>
    <row r="52" spans="3:15">
      <c r="C52" s="25"/>
      <c r="D52" s="19"/>
      <c r="E52" s="19"/>
      <c r="F52" s="19"/>
      <c r="G52" s="19"/>
      <c r="H52" s="19"/>
      <c r="I52" s="37"/>
      <c r="J52" s="19"/>
    </row>
    <row r="53" spans="3:15" ht="13.5" thickBot="1">
      <c r="C53" s="211" t="s">
        <v>98</v>
      </c>
      <c r="D53" s="87"/>
      <c r="E53" s="87"/>
      <c r="F53" s="87"/>
      <c r="G53" s="87"/>
      <c r="H53" s="87"/>
      <c r="I53" s="37"/>
      <c r="J53" s="19"/>
    </row>
    <row r="54" spans="3:15">
      <c r="C54" s="389" t="s">
        <v>13</v>
      </c>
      <c r="D54" s="391" t="s">
        <v>131</v>
      </c>
      <c r="E54" s="392"/>
      <c r="F54" s="392"/>
      <c r="G54" s="392"/>
      <c r="H54" s="392"/>
      <c r="I54" s="19"/>
      <c r="J54" s="19"/>
    </row>
    <row r="55" spans="3:15">
      <c r="C55" s="390"/>
      <c r="D55" s="112" t="s">
        <v>14</v>
      </c>
      <c r="E55" s="113" t="s">
        <v>15</v>
      </c>
      <c r="F55" s="113" t="s">
        <v>5</v>
      </c>
      <c r="G55" s="113" t="s">
        <v>16</v>
      </c>
      <c r="H55" s="113" t="s">
        <v>71</v>
      </c>
      <c r="I55" s="19"/>
      <c r="J55" s="19"/>
    </row>
    <row r="56" spans="3:15">
      <c r="C56" s="212" t="s">
        <v>10</v>
      </c>
      <c r="D56" s="331">
        <f>'Resumen (G)'!F14-'PorZona (G)'!D58</f>
        <v>104.31565832750005</v>
      </c>
      <c r="E56" s="216">
        <v>178.82140851327296</v>
      </c>
      <c r="F56" s="216">
        <v>0</v>
      </c>
      <c r="G56" s="216">
        <v>102.15633457839891</v>
      </c>
      <c r="H56" s="216">
        <f>SUM(D56:G56)</f>
        <v>385.29340141917191</v>
      </c>
      <c r="I56" s="326"/>
      <c r="K56" s="303"/>
      <c r="L56" s="316"/>
      <c r="M56" s="316"/>
      <c r="O56" s="316"/>
    </row>
    <row r="57" spans="3:15">
      <c r="C57" s="213" t="s">
        <v>9</v>
      </c>
      <c r="D57" s="332">
        <v>0</v>
      </c>
      <c r="E57" s="217">
        <v>2618.1753373239535</v>
      </c>
      <c r="F57" s="333">
        <v>6.4619999999999999E-3</v>
      </c>
      <c r="G57" s="217">
        <v>1109.0287828178698</v>
      </c>
      <c r="H57" s="217">
        <f>SUM(D57:G57)</f>
        <v>3727.2105821418231</v>
      </c>
      <c r="I57" s="326"/>
      <c r="K57" s="303"/>
      <c r="L57" s="316"/>
      <c r="M57" s="316"/>
      <c r="O57" s="316"/>
    </row>
    <row r="58" spans="3:15">
      <c r="C58" s="213" t="s">
        <v>12</v>
      </c>
      <c r="D58" s="332">
        <v>78.666011067500023</v>
      </c>
      <c r="E58" s="217">
        <v>420.05773502187787</v>
      </c>
      <c r="F58" s="217">
        <f>'Resumen (G)'!D15</f>
        <v>64.080211997499987</v>
      </c>
      <c r="G58" s="217">
        <v>29.460456481455481</v>
      </c>
      <c r="H58" s="217">
        <f>SUM(D58:G58)</f>
        <v>592.26441456833334</v>
      </c>
      <c r="I58" s="326"/>
      <c r="K58" s="303"/>
      <c r="L58" s="316"/>
      <c r="M58" s="316"/>
      <c r="O58" s="316"/>
    </row>
    <row r="59" spans="3:15">
      <c r="C59" s="214" t="s">
        <v>11</v>
      </c>
      <c r="D59" s="334">
        <v>0</v>
      </c>
      <c r="E59" s="218">
        <v>0</v>
      </c>
      <c r="F59" s="218">
        <v>0</v>
      </c>
      <c r="G59" s="218">
        <f>E13</f>
        <v>34.552758000000004</v>
      </c>
      <c r="H59" s="218">
        <f>SUM(D59:G59)</f>
        <v>34.552758000000004</v>
      </c>
      <c r="I59" s="326"/>
      <c r="K59" s="19"/>
      <c r="L59" s="316"/>
      <c r="M59" s="316"/>
    </row>
    <row r="60" spans="3:15" ht="13.5" thickBot="1">
      <c r="C60" s="114" t="s">
        <v>108</v>
      </c>
      <c r="D60" s="219">
        <f>SUM(D56:D59)</f>
        <v>182.98166939500007</v>
      </c>
      <c r="E60" s="220">
        <f>SUM(E56:E59)</f>
        <v>3217.0544808591044</v>
      </c>
      <c r="F60" s="220">
        <f>SUM(F56:F59)</f>
        <v>64.086673997499986</v>
      </c>
      <c r="G60" s="220">
        <f>SUM(G56:G59)</f>
        <v>1275.1983318777241</v>
      </c>
      <c r="H60" s="220">
        <f>SUM(H56:H59)</f>
        <v>4739.3211561293283</v>
      </c>
      <c r="I60" s="19"/>
      <c r="J60" s="19"/>
    </row>
    <row r="61" spans="3:15" ht="6.75" customHeight="1">
      <c r="C61" s="19"/>
      <c r="D61" s="19"/>
      <c r="E61" s="19"/>
      <c r="F61" s="19"/>
      <c r="G61" s="19"/>
      <c r="H61" s="19"/>
      <c r="I61" s="19"/>
      <c r="J61" s="19"/>
    </row>
    <row r="62" spans="3:15">
      <c r="C62" s="19"/>
      <c r="D62" s="19"/>
      <c r="E62" s="19"/>
      <c r="F62" s="19"/>
      <c r="G62" s="19"/>
      <c r="H62" s="19"/>
      <c r="I62" s="19"/>
      <c r="J62" s="19"/>
    </row>
    <row r="63" spans="3:15">
      <c r="C63" s="19"/>
      <c r="D63" s="19"/>
      <c r="E63" s="19"/>
      <c r="F63" s="19"/>
      <c r="G63" s="19"/>
      <c r="H63" s="19"/>
      <c r="I63" s="19"/>
      <c r="J63" s="19"/>
    </row>
    <row r="64" spans="3:15">
      <c r="E64" s="329"/>
      <c r="H64" s="121"/>
    </row>
    <row r="65" spans="5:5">
      <c r="E65" s="121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zoomScale="90" zoomScaleNormal="100" zoomScaleSheetLayoutView="90" workbookViewId="0">
      <selection activeCell="C3" sqref="C3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5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5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5" thickBot="1">
      <c r="C5"/>
      <c r="D5"/>
      <c r="E5"/>
      <c r="F5"/>
      <c r="G5"/>
    </row>
    <row r="6" spans="3:19" ht="12.75" customHeight="1">
      <c r="C6" s="107" t="s">
        <v>60</v>
      </c>
      <c r="D6" s="396" t="s">
        <v>126</v>
      </c>
      <c r="E6" s="397"/>
      <c r="F6" s="384" t="s">
        <v>74</v>
      </c>
      <c r="G6" s="382" t="s">
        <v>127</v>
      </c>
      <c r="H6" s="383"/>
      <c r="I6" s="384" t="s">
        <v>74</v>
      </c>
      <c r="O6" s="47"/>
      <c r="P6" s="86"/>
      <c r="Q6" s="398" t="s">
        <v>116</v>
      </c>
      <c r="R6" s="398"/>
    </row>
    <row r="7" spans="3:19" ht="12.75" customHeight="1">
      <c r="C7" s="108"/>
      <c r="D7" s="109">
        <v>2021</v>
      </c>
      <c r="E7" s="95">
        <v>2022</v>
      </c>
      <c r="F7" s="385"/>
      <c r="G7" s="236">
        <v>2021</v>
      </c>
      <c r="H7" s="95">
        <v>2022</v>
      </c>
      <c r="I7" s="385"/>
      <c r="N7" s="54"/>
      <c r="O7" s="313">
        <v>2021</v>
      </c>
      <c r="P7" s="315">
        <v>2022</v>
      </c>
      <c r="Q7" s="54">
        <v>2020</v>
      </c>
      <c r="R7" s="54">
        <v>2021</v>
      </c>
    </row>
    <row r="8" spans="3:19" ht="20.100000000000001" customHeight="1">
      <c r="C8" s="116" t="s">
        <v>17</v>
      </c>
      <c r="D8" s="359">
        <v>3.7604269999999995</v>
      </c>
      <c r="E8" s="360">
        <v>3.5163870000000004</v>
      </c>
      <c r="F8" s="222">
        <f>+E8/D8-1</f>
        <v>-6.4896885380303693E-2</v>
      </c>
      <c r="G8" s="354">
        <v>13.605122999999999</v>
      </c>
      <c r="H8" s="345">
        <v>15.500344</v>
      </c>
      <c r="I8" s="222">
        <f>+H8/G8-1</f>
        <v>0.13930201145553789</v>
      </c>
      <c r="J8" s="26"/>
      <c r="K8" s="46"/>
      <c r="L8" s="46"/>
      <c r="N8" s="57" t="s">
        <v>10</v>
      </c>
      <c r="O8" s="71">
        <f>SUM(D8,D13,D20,D21,D27,D29,D31)</f>
        <v>312.33468588013932</v>
      </c>
      <c r="P8" s="71">
        <f t="shared" ref="P8" si="0">SUM(E8,E13,E20,E21,E27,E29,E31)</f>
        <v>385.29340141917191</v>
      </c>
      <c r="Q8" s="71">
        <f>SUM(G8,G13,G20,G21,G27,G29,G31)</f>
        <v>1262.5940085205573</v>
      </c>
      <c r="R8" s="71">
        <f>SUM(H8,H13,H20,H21,H27,H29,H31)</f>
        <v>1347.6443290595896</v>
      </c>
    </row>
    <row r="9" spans="3:19" ht="20.100000000000001" customHeight="1">
      <c r="C9" s="117" t="s">
        <v>18</v>
      </c>
      <c r="D9" s="221">
        <v>257.70419770000001</v>
      </c>
      <c r="E9" s="281">
        <v>263.06746086000004</v>
      </c>
      <c r="F9" s="223">
        <f t="shared" ref="F9:F32" si="1">+E9/D9-1</f>
        <v>2.0811702750156647E-2</v>
      </c>
      <c r="G9" s="237">
        <v>1051.0523868</v>
      </c>
      <c r="H9" s="281">
        <v>1030.21599496</v>
      </c>
      <c r="I9" s="292">
        <f t="shared" ref="I9:I32" si="2">+H9/G9-1</f>
        <v>-1.982431332793777E-2</v>
      </c>
      <c r="J9" s="26"/>
      <c r="K9" s="46"/>
      <c r="L9" s="46"/>
      <c r="N9" s="57" t="s">
        <v>9</v>
      </c>
      <c r="O9" s="313">
        <f>SUM(D9,D14,D16,D17,D19,D22,D26,D32)</f>
        <v>3613.3371040999991</v>
      </c>
      <c r="P9" s="313">
        <f>SUM(E9,E14,E16,E17,E19,E22,E26,E32)</f>
        <v>3727.2105821418231</v>
      </c>
      <c r="Q9" s="313">
        <f>SUM(G9,G14,G16,G17,G19,G22,G26,G32)</f>
        <v>14899.156640400002</v>
      </c>
      <c r="R9" s="313">
        <f>SUM(H9,H14,H16,H17,H19,H22,H26,H32)</f>
        <v>15469.432586441824</v>
      </c>
    </row>
    <row r="10" spans="3:19" ht="20.100000000000001" customHeight="1">
      <c r="C10" s="118" t="s">
        <v>19</v>
      </c>
      <c r="D10" s="342">
        <v>4.776357</v>
      </c>
      <c r="E10" s="308">
        <v>4.5991229999999996</v>
      </c>
      <c r="F10" s="223">
        <f t="shared" si="1"/>
        <v>-3.7106522816447884E-2</v>
      </c>
      <c r="G10" s="237">
        <v>18.193077999999996</v>
      </c>
      <c r="H10" s="281">
        <v>18.396491999999999</v>
      </c>
      <c r="I10" s="223">
        <f t="shared" si="2"/>
        <v>1.1180845813995921E-2</v>
      </c>
      <c r="J10" s="26"/>
      <c r="K10" s="46"/>
      <c r="L10" s="46"/>
      <c r="N10" s="54" t="s">
        <v>12</v>
      </c>
      <c r="O10" s="313">
        <f>SUM(D10,D11,D12,D15,D18,D24,D25,D28,D30)</f>
        <v>658.24073826666665</v>
      </c>
      <c r="P10" s="313">
        <f t="shared" ref="P10" si="3">SUM(E10,E11,E12,E15,E18,E24,E25,E28,E30)</f>
        <v>592.26441456833334</v>
      </c>
      <c r="Q10" s="313">
        <f>SUM(G10,G11,G12,G15,G18,G24,G25,G28,G30)</f>
        <v>2582.7823390666667</v>
      </c>
      <c r="R10" s="313">
        <f>SUM(H10,H11,H12,H15,H18,H24,H25,H28,H30)</f>
        <v>2491.1892453683336</v>
      </c>
    </row>
    <row r="11" spans="3:19" ht="20.100000000000001" customHeight="1">
      <c r="C11" s="117" t="s">
        <v>20</v>
      </c>
      <c r="D11" s="221">
        <v>127.8366948</v>
      </c>
      <c r="E11" s="281">
        <v>93.796345819999942</v>
      </c>
      <c r="F11" s="292">
        <f t="shared" si="1"/>
        <v>-0.2662799521941337</v>
      </c>
      <c r="G11" s="237">
        <v>445.40957620000006</v>
      </c>
      <c r="H11" s="281">
        <v>385.70749522</v>
      </c>
      <c r="I11" s="223">
        <f t="shared" si="2"/>
        <v>-0.1340386111348274</v>
      </c>
      <c r="J11" s="26"/>
      <c r="K11" s="46"/>
      <c r="L11" s="46"/>
      <c r="N11" s="314" t="s">
        <v>11</v>
      </c>
      <c r="O11" s="71">
        <f>D23</f>
        <v>33.436765733333331</v>
      </c>
      <c r="P11" s="71">
        <f t="shared" ref="P11" si="4">E23</f>
        <v>34.552758000000004</v>
      </c>
      <c r="Q11" s="71">
        <f>G23</f>
        <v>132.55007693333334</v>
      </c>
      <c r="R11" s="71">
        <f>H23</f>
        <v>138.3416752</v>
      </c>
    </row>
    <row r="12" spans="3:19" ht="20.100000000000001" customHeight="1">
      <c r="C12" s="117" t="s">
        <v>21</v>
      </c>
      <c r="D12" s="342">
        <v>0.81284699999999999</v>
      </c>
      <c r="E12" s="308">
        <v>0.86135733333333342</v>
      </c>
      <c r="F12" s="223">
        <f t="shared" si="1"/>
        <v>5.9679537887614043E-2</v>
      </c>
      <c r="G12" s="341">
        <v>4.0257890000000005</v>
      </c>
      <c r="H12" s="308">
        <v>3.7011743333333333</v>
      </c>
      <c r="I12" s="223">
        <f t="shared" si="2"/>
        <v>-8.063380039705681E-2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7" t="s">
        <v>22</v>
      </c>
      <c r="D13" s="221">
        <v>122.75406320000003</v>
      </c>
      <c r="E13" s="281">
        <v>143.00038577083325</v>
      </c>
      <c r="F13" s="223">
        <f t="shared" si="1"/>
        <v>0.16493403186048838</v>
      </c>
      <c r="G13" s="237">
        <v>530.81500779999999</v>
      </c>
      <c r="H13" s="281">
        <v>568.98878937083316</v>
      </c>
      <c r="I13" s="223">
        <f t="shared" si="2"/>
        <v>7.1915414993722671E-2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7" t="s">
        <v>59</v>
      </c>
      <c r="D14" s="221">
        <v>112.33780566666667</v>
      </c>
      <c r="E14" s="281">
        <v>163.76426223999997</v>
      </c>
      <c r="F14" s="223">
        <f t="shared" si="1"/>
        <v>0.45778405825308699</v>
      </c>
      <c r="G14" s="237">
        <v>617.48590666666678</v>
      </c>
      <c r="H14" s="281">
        <v>804.3126142399999</v>
      </c>
      <c r="I14" s="223">
        <f t="shared" si="2"/>
        <v>0.30256027798572327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7" t="s">
        <v>23</v>
      </c>
      <c r="D15" s="221">
        <v>191.04833606666668</v>
      </c>
      <c r="E15" s="281">
        <v>193.86661163166667</v>
      </c>
      <c r="F15" s="223">
        <f t="shared" si="1"/>
        <v>1.4751636277096747E-2</v>
      </c>
      <c r="G15" s="237">
        <v>777.63941326666657</v>
      </c>
      <c r="H15" s="281">
        <v>769.39588583166676</v>
      </c>
      <c r="I15" s="339">
        <f t="shared" si="2"/>
        <v>-1.0600706824221873E-2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7" t="s">
        <v>24</v>
      </c>
      <c r="D16" s="221">
        <v>980.68616000000009</v>
      </c>
      <c r="E16" s="281">
        <v>960.42480361999969</v>
      </c>
      <c r="F16" s="223">
        <f t="shared" si="1"/>
        <v>-2.0660387804392388E-2</v>
      </c>
      <c r="G16" s="237">
        <v>3801.8149739999999</v>
      </c>
      <c r="H16" s="281">
        <v>3633.6678976200001</v>
      </c>
      <c r="I16" s="292">
        <f t="shared" si="2"/>
        <v>-4.4228106188736294E-2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7" t="s">
        <v>25</v>
      </c>
      <c r="D17" s="221">
        <v>295.2925961333334</v>
      </c>
      <c r="E17" s="281">
        <v>283.51989090416663</v>
      </c>
      <c r="F17" s="223">
        <f t="shared" si="1"/>
        <v>-3.9867932292657393E-2</v>
      </c>
      <c r="G17" s="237">
        <v>1260.8672785333335</v>
      </c>
      <c r="H17" s="281">
        <v>1183.8664433041668</v>
      </c>
      <c r="I17" s="292">
        <f t="shared" si="2"/>
        <v>-6.1069738695047837E-2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7" t="s">
        <v>26</v>
      </c>
      <c r="D18" s="221">
        <v>147.54738606666669</v>
      </c>
      <c r="E18" s="281">
        <v>117.6720652541667</v>
      </c>
      <c r="F18" s="223">
        <f t="shared" si="1"/>
        <v>-0.20247949902007312</v>
      </c>
      <c r="G18" s="237">
        <v>558.29869226666665</v>
      </c>
      <c r="H18" s="281">
        <v>545.40134445416686</v>
      </c>
      <c r="I18" s="223">
        <f t="shared" si="2"/>
        <v>-2.3101160706891832E-2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7" t="s">
        <v>27</v>
      </c>
      <c r="D19" s="221">
        <v>293.73079646666662</v>
      </c>
      <c r="E19" s="281">
        <v>347.86019673266128</v>
      </c>
      <c r="F19" s="223">
        <f t="shared" si="1"/>
        <v>0.18428234600227711</v>
      </c>
      <c r="G19" s="237">
        <v>1235.2281398666667</v>
      </c>
      <c r="H19" s="281">
        <v>1337.6975811326615</v>
      </c>
      <c r="I19" s="292">
        <f t="shared" si="2"/>
        <v>8.2955883175601652E-2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7" t="s">
        <v>28</v>
      </c>
      <c r="D20" s="221">
        <v>50.621663465133963</v>
      </c>
      <c r="E20" s="281">
        <v>106.94925083333332</v>
      </c>
      <c r="F20" s="292">
        <f t="shared" si="1"/>
        <v>1.1127170367879238</v>
      </c>
      <c r="G20" s="237">
        <v>228.81129986053583</v>
      </c>
      <c r="H20" s="281">
        <v>267.45968122873518</v>
      </c>
      <c r="I20" s="223">
        <f t="shared" si="2"/>
        <v>0.16890940872131832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7" t="s">
        <v>29</v>
      </c>
      <c r="D21" s="342">
        <v>5.0912962666666672</v>
      </c>
      <c r="E21" s="308">
        <v>5.2488142650000018</v>
      </c>
      <c r="F21" s="223">
        <f t="shared" si="1"/>
        <v>3.0938682426443043E-2</v>
      </c>
      <c r="G21" s="237">
        <v>20.745825066666672</v>
      </c>
      <c r="H21" s="281">
        <v>20.449647065000004</v>
      </c>
      <c r="I21" s="223">
        <f t="shared" si="2"/>
        <v>-1.4276511091503963E-2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7" t="s">
        <v>30</v>
      </c>
      <c r="D22" s="221">
        <v>1575.4910917999994</v>
      </c>
      <c r="E22" s="281">
        <v>1609.017252596662</v>
      </c>
      <c r="F22" s="223">
        <f t="shared" si="1"/>
        <v>2.1279816160914677E-2</v>
      </c>
      <c r="G22" s="237">
        <v>6512.5984652000006</v>
      </c>
      <c r="H22" s="281">
        <v>7076.0375619966617</v>
      </c>
      <c r="I22" s="223">
        <f t="shared" si="2"/>
        <v>8.6515251908649393E-2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7" t="s">
        <v>31</v>
      </c>
      <c r="D23" s="221">
        <v>33.436765733333331</v>
      </c>
      <c r="E23" s="281">
        <v>34.552758000000004</v>
      </c>
      <c r="F23" s="223">
        <f t="shared" si="1"/>
        <v>3.33762025779345E-2</v>
      </c>
      <c r="G23" s="237">
        <v>132.55007693333334</v>
      </c>
      <c r="H23" s="281">
        <v>138.3416752</v>
      </c>
      <c r="I23" s="223">
        <f t="shared" si="2"/>
        <v>4.3693662053320148E-2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7" t="s">
        <v>32</v>
      </c>
      <c r="D24" s="342">
        <v>0.131968</v>
      </c>
      <c r="E24" s="308">
        <v>0.17795409500000001</v>
      </c>
      <c r="F24" s="223">
        <f t="shared" si="1"/>
        <v>0.34846398369301657</v>
      </c>
      <c r="G24" s="341">
        <v>0.489923</v>
      </c>
      <c r="H24" s="308">
        <v>0.51449309500000007</v>
      </c>
      <c r="I24" s="292">
        <f t="shared" si="2"/>
        <v>5.0150931881132399E-2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7" t="s">
        <v>33</v>
      </c>
      <c r="D25" s="221">
        <v>56.720388333333339</v>
      </c>
      <c r="E25" s="281">
        <v>53.931744912499987</v>
      </c>
      <c r="F25" s="223">
        <f t="shared" si="1"/>
        <v>-4.9164744861144194E-2</v>
      </c>
      <c r="G25" s="237">
        <v>241.45016033333334</v>
      </c>
      <c r="H25" s="281">
        <v>231.47708091249999</v>
      </c>
      <c r="I25" s="223">
        <f t="shared" si="2"/>
        <v>-4.13049194378875E-2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7" t="s">
        <v>34</v>
      </c>
      <c r="D26" s="221">
        <v>96.567309000000009</v>
      </c>
      <c r="E26" s="281">
        <v>86.305508342499976</v>
      </c>
      <c r="F26" s="223">
        <f t="shared" si="1"/>
        <v>-0.10626578252791563</v>
      </c>
      <c r="G26" s="237">
        <v>381.697294</v>
      </c>
      <c r="H26" s="281">
        <v>367.50945934249995</v>
      </c>
      <c r="I26" s="223">
        <f t="shared" si="2"/>
        <v>-3.7170383129569773E-2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7" t="s">
        <v>35</v>
      </c>
      <c r="D27" s="221">
        <v>123.59435294833867</v>
      </c>
      <c r="E27" s="281">
        <v>119.9780155500053</v>
      </c>
      <c r="F27" s="223">
        <f t="shared" si="1"/>
        <v>-2.9259730012462404E-2</v>
      </c>
      <c r="G27" s="237">
        <v>445.85953179335468</v>
      </c>
      <c r="H27" s="281">
        <v>452.27207339502132</v>
      </c>
      <c r="I27" s="223">
        <f t="shared" si="2"/>
        <v>1.4382425729184023E-2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7" t="s">
        <v>36</v>
      </c>
      <c r="D28" s="342">
        <v>116.377638</v>
      </c>
      <c r="E28" s="308">
        <v>115.76372680666664</v>
      </c>
      <c r="F28" s="223">
        <f t="shared" si="1"/>
        <v>-5.2751645752886489E-3</v>
      </c>
      <c r="G28" s="237">
        <v>481.80002200000001</v>
      </c>
      <c r="H28" s="281">
        <v>483.40618680666665</v>
      </c>
      <c r="I28" s="339">
        <f t="shared" si="2"/>
        <v>3.3336752455910279E-3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7" t="s">
        <v>37</v>
      </c>
      <c r="D29" s="221">
        <v>5.4123349999999997</v>
      </c>
      <c r="E29" s="281">
        <v>5.5</v>
      </c>
      <c r="F29" s="223">
        <f t="shared" si="1"/>
        <v>1.6197260516948919E-2</v>
      </c>
      <c r="G29" s="237">
        <v>18.355028999999998</v>
      </c>
      <c r="H29" s="281">
        <v>18.571601999999999</v>
      </c>
      <c r="I29" s="292">
        <f t="shared" si="2"/>
        <v>1.1799109660900031E-2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7" t="s">
        <v>38</v>
      </c>
      <c r="D30" s="221">
        <v>12.989122999999999</v>
      </c>
      <c r="E30" s="281">
        <v>11.595485715000001</v>
      </c>
      <c r="F30" s="292">
        <f t="shared" si="1"/>
        <v>-0.10729263900264852</v>
      </c>
      <c r="G30" s="237">
        <v>55.475684999999999</v>
      </c>
      <c r="H30" s="281">
        <v>53.189092715000008</v>
      </c>
      <c r="I30" s="223">
        <f t="shared" si="2"/>
        <v>-4.1217918895458228E-2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7" t="s">
        <v>39</v>
      </c>
      <c r="D31" s="221">
        <v>1.1005480000000003</v>
      </c>
      <c r="E31" s="281">
        <v>1.1005480000000003</v>
      </c>
      <c r="F31" s="292">
        <f>+E31/D31-1</f>
        <v>0</v>
      </c>
      <c r="G31" s="237">
        <v>4.4021920000000012</v>
      </c>
      <c r="H31" s="281">
        <v>4.4021920000000012</v>
      </c>
      <c r="I31" s="223">
        <f t="shared" si="2"/>
        <v>0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19" t="s">
        <v>40</v>
      </c>
      <c r="D32" s="215">
        <v>1.5271473333333336</v>
      </c>
      <c r="E32" s="282">
        <v>13.25120684583333</v>
      </c>
      <c r="F32" s="224">
        <f t="shared" si="1"/>
        <v>7.6770978520518174</v>
      </c>
      <c r="G32" s="238">
        <v>38.412195333333337</v>
      </c>
      <c r="H32" s="282">
        <v>36.125033845833329</v>
      </c>
      <c r="I32" s="224">
        <f t="shared" si="2"/>
        <v>-5.9542587130271496E-2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25" t="s">
        <v>108</v>
      </c>
      <c r="D33" s="110">
        <f>SUM(D8:D32)</f>
        <v>4617.349293980139</v>
      </c>
      <c r="E33" s="283">
        <f>SUM(E8:E32)</f>
        <v>4739.3211561293283</v>
      </c>
      <c r="F33" s="115">
        <f>+E33/D33-1</f>
        <v>2.6415992029931612E-2</v>
      </c>
      <c r="G33" s="239">
        <f>SUM(G8:G32)</f>
        <v>18877.08306492056</v>
      </c>
      <c r="H33" s="283">
        <f>SUM(H8:H32)</f>
        <v>19446.607836069754</v>
      </c>
      <c r="I33" s="240">
        <f>+H33/G33-1</f>
        <v>3.0170168197625191E-2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43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1609.017252596662</v>
      </c>
      <c r="P44" s="8"/>
      <c r="R44" s="9" t="s">
        <v>30</v>
      </c>
      <c r="S44" s="120">
        <v>1609.017252596662</v>
      </c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960.42480361999969</v>
      </c>
      <c r="P45" s="8"/>
      <c r="R45" s="9" t="s">
        <v>24</v>
      </c>
      <c r="S45" s="91">
        <v>960.42480361999969</v>
      </c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27</v>
      </c>
      <c r="O46" s="53">
        <v>347.86019673266128</v>
      </c>
      <c r="P46" s="8"/>
      <c r="R46" s="9" t="s">
        <v>27</v>
      </c>
      <c r="S46" s="91">
        <v>347.86019673266128</v>
      </c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25</v>
      </c>
      <c r="O47" s="52">
        <v>283.51989090416663</v>
      </c>
      <c r="P47" s="8"/>
      <c r="R47" s="9" t="s">
        <v>25</v>
      </c>
      <c r="S47" s="91">
        <v>283.51989090416663</v>
      </c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18</v>
      </c>
      <c r="O48" s="53">
        <v>263.06746086000004</v>
      </c>
      <c r="P48" s="8"/>
      <c r="R48" s="9" t="s">
        <v>18</v>
      </c>
      <c r="S48" s="91">
        <v>263.06746086000004</v>
      </c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23</v>
      </c>
      <c r="O49" s="53">
        <v>193.86661163166667</v>
      </c>
      <c r="P49" s="8"/>
      <c r="R49" s="9" t="s">
        <v>23</v>
      </c>
      <c r="S49" s="91">
        <v>193.86661163166667</v>
      </c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59</v>
      </c>
      <c r="O50" s="52">
        <v>163.76426223999997</v>
      </c>
      <c r="P50" s="8"/>
      <c r="R50" s="9" t="s">
        <v>59</v>
      </c>
      <c r="S50" s="91">
        <v>163.76426223999997</v>
      </c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22</v>
      </c>
      <c r="O51" s="53">
        <v>143.00038577083325</v>
      </c>
      <c r="P51" s="8"/>
      <c r="R51" s="9" t="s">
        <v>22</v>
      </c>
      <c r="S51" s="91">
        <v>143.00038577083325</v>
      </c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35</v>
      </c>
      <c r="O52" s="53">
        <v>119.9780155500053</v>
      </c>
      <c r="P52" s="8"/>
      <c r="R52" s="9" t="s">
        <v>35</v>
      </c>
      <c r="S52" s="91">
        <v>119.9780155500053</v>
      </c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26</v>
      </c>
      <c r="O53" s="53">
        <v>117.6720652541667</v>
      </c>
      <c r="P53" s="8"/>
      <c r="R53" s="9" t="s">
        <v>26</v>
      </c>
      <c r="S53" s="91">
        <v>117.6720652541667</v>
      </c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36</v>
      </c>
      <c r="O54" s="53">
        <v>115.76372680666664</v>
      </c>
      <c r="P54" s="8"/>
      <c r="R54" s="9" t="s">
        <v>36</v>
      </c>
      <c r="S54" s="91">
        <v>115.76372680666664</v>
      </c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28</v>
      </c>
      <c r="O55" s="52">
        <v>106.94925083333332</v>
      </c>
      <c r="P55" s="8"/>
      <c r="R55" s="9" t="s">
        <v>28</v>
      </c>
      <c r="S55" s="91">
        <v>106.94925083333332</v>
      </c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20</v>
      </c>
      <c r="O56" s="53">
        <v>93.796345819999942</v>
      </c>
      <c r="P56" s="8"/>
      <c r="R56" s="9" t="s">
        <v>20</v>
      </c>
      <c r="S56" s="91">
        <v>93.796345819999942</v>
      </c>
    </row>
    <row r="57" spans="3:19">
      <c r="N57" s="51" t="s">
        <v>34</v>
      </c>
      <c r="O57" s="52">
        <v>86.305508342499976</v>
      </c>
      <c r="R57" s="9" t="s">
        <v>34</v>
      </c>
      <c r="S57" s="91">
        <v>86.305508342499976</v>
      </c>
    </row>
    <row r="58" spans="3:19">
      <c r="N58" s="51" t="s">
        <v>33</v>
      </c>
      <c r="O58" s="52">
        <v>53.931744912499987</v>
      </c>
      <c r="R58" s="9" t="s">
        <v>33</v>
      </c>
      <c r="S58" s="91">
        <v>53.931744912499987</v>
      </c>
    </row>
    <row r="59" spans="3:19">
      <c r="N59" s="51" t="s">
        <v>31</v>
      </c>
      <c r="O59" s="52">
        <v>34.552758000000004</v>
      </c>
      <c r="R59" s="9" t="s">
        <v>31</v>
      </c>
      <c r="S59" s="91">
        <v>34.552758000000004</v>
      </c>
    </row>
    <row r="60" spans="3:19">
      <c r="N60" s="51" t="s">
        <v>40</v>
      </c>
      <c r="O60" s="52">
        <v>13.25120684583333</v>
      </c>
      <c r="R60" s="9" t="s">
        <v>40</v>
      </c>
      <c r="S60" s="91">
        <v>13.25120684583333</v>
      </c>
    </row>
    <row r="61" spans="3:19">
      <c r="N61" s="51" t="s">
        <v>38</v>
      </c>
      <c r="O61" s="52">
        <v>11.595485715000001</v>
      </c>
      <c r="R61" s="9" t="s">
        <v>38</v>
      </c>
      <c r="S61" s="91">
        <v>11.595485715000001</v>
      </c>
    </row>
    <row r="62" spans="3:19">
      <c r="N62" s="51" t="s">
        <v>37</v>
      </c>
      <c r="O62" s="52">
        <v>5.5</v>
      </c>
      <c r="R62" s="9" t="s">
        <v>37</v>
      </c>
      <c r="S62" s="91">
        <v>5.5</v>
      </c>
    </row>
    <row r="63" spans="3:19">
      <c r="N63" s="50" t="s">
        <v>29</v>
      </c>
      <c r="O63" s="53">
        <v>5.2488142650000018</v>
      </c>
      <c r="R63" s="9" t="s">
        <v>29</v>
      </c>
      <c r="S63" s="91">
        <v>5.2488142650000018</v>
      </c>
    </row>
    <row r="64" spans="3:19">
      <c r="N64" s="50" t="s">
        <v>19</v>
      </c>
      <c r="O64" s="53">
        <v>4.5991229999999996</v>
      </c>
      <c r="R64" s="9" t="s">
        <v>19</v>
      </c>
      <c r="S64" s="91">
        <v>4.5991229999999996</v>
      </c>
    </row>
    <row r="65" spans="6:19">
      <c r="N65" s="50" t="s">
        <v>17</v>
      </c>
      <c r="O65" s="53">
        <v>3.5163870000000004</v>
      </c>
      <c r="R65" s="9" t="s">
        <v>17</v>
      </c>
      <c r="S65" s="91">
        <v>3.5163870000000004</v>
      </c>
    </row>
    <row r="66" spans="6:19">
      <c r="N66" s="50" t="s">
        <v>39</v>
      </c>
      <c r="O66" s="53">
        <v>1.1005480000000003</v>
      </c>
      <c r="R66" s="9" t="s">
        <v>39</v>
      </c>
      <c r="S66" s="91">
        <v>1.1005480000000003</v>
      </c>
    </row>
    <row r="67" spans="6:19">
      <c r="N67" s="51" t="s">
        <v>21</v>
      </c>
      <c r="O67" s="52">
        <v>0.86135733333333342</v>
      </c>
      <c r="R67" s="9" t="s">
        <v>21</v>
      </c>
      <c r="S67" s="91">
        <v>0.86135733333333342</v>
      </c>
    </row>
    <row r="68" spans="6:19">
      <c r="N68" s="9" t="s">
        <v>32</v>
      </c>
      <c r="O68" s="52">
        <v>0.17795409500000001</v>
      </c>
      <c r="R68" s="9" t="s">
        <v>32</v>
      </c>
      <c r="S68" s="91">
        <v>0.17795409500000001</v>
      </c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ref="R44:S68">
    <sortCondition descending="1" ref="S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2022-05-16T14:08:31Z</dcterms:modified>
</cp:coreProperties>
</file>